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240" windowWidth="21675" windowHeight="13140" activeTab="1"/>
  </bookViews>
  <sheets>
    <sheet name="eelarve täitmine" sheetId="1" r:id="rId1"/>
    <sheet name="investeeringud" sheetId="2" r:id="rId2"/>
  </sheets>
  <definedNames>
    <definedName name="_xlfn.SUMIFS" hidden="1">#NAME?</definedName>
  </definedNames>
  <calcPr fullCalcOnLoad="1"/>
</workbook>
</file>

<file path=xl/comments2.xml><?xml version="1.0" encoding="utf-8"?>
<comments xmlns="http://schemas.openxmlformats.org/spreadsheetml/2006/main">
  <authors>
    <author>Tartu Linnavalitsus</author>
  </authors>
  <commentList>
    <comment ref="G30" authorId="0">
      <text>
        <r>
          <rPr>
            <b/>
            <sz val="9"/>
            <rFont val="Tahoma"/>
            <family val="2"/>
          </rPr>
          <t>Tartu Linnavalitsus:</t>
        </r>
        <r>
          <rPr>
            <sz val="9"/>
            <rFont val="Tahoma"/>
            <family val="2"/>
          </rPr>
          <t xml:space="preserve">
sh maa ost Soojuse 2, 6000 eurot</t>
        </r>
      </text>
    </comment>
  </commentList>
</comments>
</file>

<file path=xl/sharedStrings.xml><?xml version="1.0" encoding="utf-8"?>
<sst xmlns="http://schemas.openxmlformats.org/spreadsheetml/2006/main" count="792" uniqueCount="398">
  <si>
    <t>Põhivara soetus</t>
  </si>
  <si>
    <t>PVS</t>
  </si>
  <si>
    <t>Põhivara soetuseks antav sihtfinantseerimine</t>
  </si>
  <si>
    <t>ASF</t>
  </si>
  <si>
    <t>Finantskulud</t>
  </si>
  <si>
    <t>FK</t>
  </si>
  <si>
    <t>Investeerimistegevuse kulud objektide ja finantseerimisallikate lõikes</t>
  </si>
  <si>
    <t>Üldised valitsussektori teenused</t>
  </si>
  <si>
    <t>RO</t>
  </si>
  <si>
    <t>Linna laenude teenindamine</t>
  </si>
  <si>
    <t>HO</t>
  </si>
  <si>
    <t>Riigi Kinnisvara ASile (H. Masingu Kooli ja J. Poska Gümnaasiumi) intressid</t>
  </si>
  <si>
    <t>KO</t>
  </si>
  <si>
    <t>Raamatukogu väikebussi liisingu intressid</t>
  </si>
  <si>
    <t>Maarja kooli bussi liisingu intressid</t>
  </si>
  <si>
    <t>LVO</t>
  </si>
  <si>
    <t>LK</t>
  </si>
  <si>
    <t>Majandus</t>
  </si>
  <si>
    <t>LMO</t>
  </si>
  <si>
    <t>Tänavate rekonstrueerimine, ehitus</t>
  </si>
  <si>
    <t>Kruusakattega tänavate asfalteerimine</t>
  </si>
  <si>
    <t>Ülekatted ja pindamised</t>
  </si>
  <si>
    <t>Sadevee liitumistasu</t>
  </si>
  <si>
    <t>Koostöö võrguarendajatega</t>
  </si>
  <si>
    <t xml:space="preserve">Toetus SA-le Tartu Teaduspark infrastruktuuri arendamiseks </t>
  </si>
  <si>
    <t xml:space="preserve">  Muu majandus</t>
  </si>
  <si>
    <t>Ettekirjutuste täitmiseks linna hoonetes</t>
  </si>
  <si>
    <t>Korteriühistute remondifond</t>
  </si>
  <si>
    <t>Keskkonnakaitse</t>
  </si>
  <si>
    <t xml:space="preserve">   Elamumajanduse arendamine</t>
  </si>
  <si>
    <t xml:space="preserve">Linnale kuuluvate korterite remont </t>
  </si>
  <si>
    <t xml:space="preserve">   Tänavavalgustus</t>
  </si>
  <si>
    <t>Tänavavalgustuse haldusprogrammi väljavahetamine</t>
  </si>
  <si>
    <t xml:space="preserve">  Muu elamu- ja kommunaaltegevus</t>
  </si>
  <si>
    <t xml:space="preserve">   Spordibaasid</t>
  </si>
  <si>
    <t>Annelinna kunstmuruväljak</t>
  </si>
  <si>
    <t>spordiinventari soetuseks</t>
  </si>
  <si>
    <t>Pillide ost</t>
  </si>
  <si>
    <t xml:space="preserve">   Muinsuskaitse</t>
  </si>
  <si>
    <t xml:space="preserve">Toetus SAle Tartu Pauluse Kirik </t>
  </si>
  <si>
    <t>AEO</t>
  </si>
  <si>
    <t>Toetus Eesti Apostlik Õigeusu Kirikule</t>
  </si>
  <si>
    <t xml:space="preserve">Toetus EELK Tartu Peetri Kogudusele </t>
  </si>
  <si>
    <t>Restaureerimise toetused</t>
  </si>
  <si>
    <t>Haridus</t>
  </si>
  <si>
    <t xml:space="preserve">   Lasteaiad (09110)</t>
  </si>
  <si>
    <t>Kesklinna Lastekeskus (Akadeemia 2)</t>
  </si>
  <si>
    <t>Hansa Kool (Anne 63)</t>
  </si>
  <si>
    <t>Karlova Kool (Lina 2)</t>
  </si>
  <si>
    <t>Forseliuse Kool (Tähe 103)</t>
  </si>
  <si>
    <t>Kesklinna Kool (Kroonuaia 7)</t>
  </si>
  <si>
    <t xml:space="preserve">   Muu haridus (09800)</t>
  </si>
  <si>
    <t>Ettekirjutiste täitmine</t>
  </si>
  <si>
    <t>Haridusasutuste rekonstrueerimistööde projekteerimised</t>
  </si>
  <si>
    <t>Sotsiaalne kaitse</t>
  </si>
  <si>
    <t>Tartu Linnavalitsus</t>
  </si>
  <si>
    <t>seisuga:</t>
  </si>
  <si>
    <t xml:space="preserve">Eelarve </t>
  </si>
  <si>
    <t>Täitmine</t>
  </si>
  <si>
    <t>%</t>
  </si>
  <si>
    <t>kasv</t>
  </si>
  <si>
    <t>Klassifikaator</t>
  </si>
  <si>
    <t>Kirje nimetus</t>
  </si>
  <si>
    <t>täitmine</t>
  </si>
  <si>
    <t>eurodes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</si>
  <si>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</si>
  <si>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</si>
  <si>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</si>
  <si>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</si>
  <si>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</si>
  <si>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</si>
  <si>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</si>
  <si>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</si>
  <si>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</si>
  <si>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</si>
  <si>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</si>
  <si>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</si>
  <si>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</si>
  <si>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</si>
  <si>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3500, 352.01.. .8</t>
  </si>
  <si>
    <t>Muud saadud toetused tegevuskuludeks</t>
  </si>
  <si>
    <t>3825, 388</t>
  </si>
  <si>
    <t xml:space="preserve">Muud tegevustulud </t>
  </si>
  <si>
    <t>Varude müük</t>
  </si>
  <si>
    <t>x</t>
  </si>
  <si>
    <t>Laekumine vee erikasutusest</t>
  </si>
  <si>
    <t>Saastetasud ja keskkonnale tekitatud kahju hüvitis</t>
  </si>
  <si>
    <t>3880, 3888</t>
  </si>
  <si>
    <t xml:space="preserve">Eelpool nimetamata muud tegevustulud </t>
  </si>
  <si>
    <t>PÕHITEGEVUSE KULUD KOKKU</t>
  </si>
  <si>
    <t>40, 41, 4500, 452</t>
  </si>
  <si>
    <t>Antavad toetused tegevuskuludeks</t>
  </si>
  <si>
    <t>Muud tegevuskulud</t>
  </si>
  <si>
    <t>s h töötasud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</si>
  <si>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</si>
  <si>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</si>
  <si>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</si>
  <si>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</si>
  <si>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</si>
  <si>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</si>
  <si>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</si>
  <si>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</si>
  <si>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</si>
  <si>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</si>
  <si>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</si>
  <si>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</si>
  <si>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</si>
  <si>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</si>
  <si>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20.5</t>
  </si>
  <si>
    <t>Kohustuste võtmine (+)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</si>
  <si>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</si>
  <si>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</si>
  <si>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</si>
  <si>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</si>
  <si>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</si>
  <si>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</si>
  <si>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</si>
  <si>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Kohustuste tasumine (-)</t>
  </si>
  <si>
    <t>2080.6</t>
  </si>
  <si>
    <t>2081.6</t>
  </si>
  <si>
    <t>2082.6</t>
  </si>
  <si>
    <t>LIKVIIDSETE VARADE MUUTUS (+ suurenemine, - vähenemine)</t>
  </si>
  <si>
    <t>Põhitegevuse kulud TEGEVUSALATI</t>
  </si>
  <si>
    <t>01</t>
  </si>
  <si>
    <t>03</t>
  </si>
  <si>
    <t>Avalik kord ja julgeolek</t>
  </si>
  <si>
    <t>04</t>
  </si>
  <si>
    <t>05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</si>
  <si>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</si>
  <si>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</si>
  <si>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</si>
  <si>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</si>
  <si>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</si>
  <si>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</si>
  <si>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</si>
  <si>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10</t>
  </si>
  <si>
    <t>Investeerimistegevuse kulud TEGEVUSALATI</t>
  </si>
  <si>
    <t>Lasteaedade sisekliima tagamine</t>
  </si>
  <si>
    <t>Baeri-Näituse-Ilmatsalu</t>
  </si>
  <si>
    <t>Kroonuaia sild-Aruküla tee</t>
  </si>
  <si>
    <t>TARTU LINNA 2016. a eelarve INVESTEERIMISTEGEVUSE  KULUD</t>
  </si>
  <si>
    <t>Kinnit</t>
  </si>
  <si>
    <t xml:space="preserve">Täitmine </t>
  </si>
  <si>
    <t>INVESTEERIMISTEGEVUS  KULUD  kokku</t>
  </si>
  <si>
    <t>sh toetused</t>
  </si>
  <si>
    <t>ÜLDISED  VALITSUSSEKTORI  TEENUSED</t>
  </si>
  <si>
    <t xml:space="preserve">   Valitsussektori võla teenindamine</t>
  </si>
  <si>
    <t>Küüni 5 ametiruumide remont</t>
  </si>
  <si>
    <t>Linnavalitsuse IT vahendite soetamine</t>
  </si>
  <si>
    <t>MAJANDUS</t>
  </si>
  <si>
    <t>LPM</t>
  </si>
  <si>
    <t xml:space="preserve">Vaksali tn väljak, parklad, kergliiklusteed </t>
  </si>
  <si>
    <t>Tartu idapoolse ringtee ehitamine</t>
  </si>
  <si>
    <t xml:space="preserve">Roosi tn </t>
  </si>
  <si>
    <t>Muuseumi tee</t>
  </si>
  <si>
    <t>Ülikooli tn rekonstrueerimine (Vallikraavi-Lossi)</t>
  </si>
  <si>
    <t xml:space="preserve">Kastani (Kuperjanovi - Riia), Tiigi - Vaksali </t>
  </si>
  <si>
    <t>Soola, Turu, Kalevi tn</t>
  </si>
  <si>
    <t>Struve tn</t>
  </si>
  <si>
    <t>Killustikparkla rajamine tasuta parkimiseks (Uus 63d)</t>
  </si>
  <si>
    <t>Raudtee tn T41 juurdepääsutee ehitamine</t>
  </si>
  <si>
    <t>Sanatooriumi tn</t>
  </si>
  <si>
    <t>Toetus Tartu Ülikoolile raamatukoguesise platsi rekonstrueerimiseks</t>
  </si>
  <si>
    <t>Koostööprojektid korteriühistutega parklate (sh rattaparklad) rajamiseks</t>
  </si>
  <si>
    <t>Projekteerimised</t>
  </si>
  <si>
    <t>Turusilla remont</t>
  </si>
  <si>
    <t>Kaarsilla remondi projekteerimine</t>
  </si>
  <si>
    <t>Jalg- ja jalgrattateed</t>
  </si>
  <si>
    <t>Turu jalakäijate sild-Annelinn-Nõlvaku</t>
  </si>
  <si>
    <t>Filosoofi, Lootuse, Kalevi, Aida kergliiklusteed</t>
  </si>
  <si>
    <t>Võru tn kõnnitee (Riia - Kastani)</t>
  </si>
  <si>
    <t>Jalgtee Võidu sillale</t>
  </si>
  <si>
    <t>Tamme pst kõnniteed</t>
  </si>
  <si>
    <t>Turu tn 8 roheala kergliiklustee</t>
  </si>
  <si>
    <t xml:space="preserve">   Liikluskorraldus</t>
  </si>
  <si>
    <t xml:space="preserve">
Kroonuaia-Emajõe fooride rekonstrueerimine</t>
  </si>
  <si>
    <t>Ühistranspordi korraldus</t>
  </si>
  <si>
    <t>Tartu bussidepoo</t>
  </si>
  <si>
    <t>EVO</t>
  </si>
  <si>
    <t>Toetus SA-le Tartu Loomemajanduskeskus loomekiirendi fondi moodustamiseks</t>
  </si>
  <si>
    <t>Roosi ja Kasarmu tn äärsete alade korrastamine (ERMi ümbrus)</t>
  </si>
  <si>
    <t>Tartu Maratoni monumendi rajamine</t>
  </si>
  <si>
    <t>Tiigi Seltsimaja (Tiigi 11)</t>
  </si>
  <si>
    <t>KESKKONNAKAITSE</t>
  </si>
  <si>
    <t>Emajõe suvekohvikute platvormide ehitamine</t>
  </si>
  <si>
    <t>Toomemäe rekonstrueerimine</t>
  </si>
  <si>
    <t>Riiamäe platsi rekonstrueerimine</t>
  </si>
  <si>
    <t>Kanali äärde koerte jalutusväljaku rajamine</t>
  </si>
  <si>
    <t>Tartu tammiku projekteerimine</t>
  </si>
  <si>
    <t>Ihaste välitreeningala kaasajastamine</t>
  </si>
  <si>
    <t>Projekteerimine ja projektide korrektuurid</t>
  </si>
  <si>
    <t>Jalaka 48a mängu- ja spordiväljaku ehitamine</t>
  </si>
  <si>
    <t>ELAMU- ja KOMMUNAALMAJANDUS</t>
  </si>
  <si>
    <t>Linnale kuuluvate elamute remont, sh:</t>
  </si>
  <si>
    <t>Rahu 8</t>
  </si>
  <si>
    <t xml:space="preserve">Kalda tee 40 </t>
  </si>
  <si>
    <t>Mõisavahe 67</t>
  </si>
  <si>
    <t xml:space="preserve">Puiestee 114 </t>
  </si>
  <si>
    <t>Annemõisa 4</t>
  </si>
  <si>
    <t>osalus korteriühistute hoonete rekonstrueerimistöödel</t>
  </si>
  <si>
    <t>Võidu silla kujundusvalgustus</t>
  </si>
  <si>
    <t>Juhtimiskilpide ja valgustite kaugjuhitavate juhtimiskontrollerite ost ja paigaldamine</t>
  </si>
  <si>
    <t>Hipodroomi 12a ringteele valgustuse ehitus</t>
  </si>
  <si>
    <t>Annelinna piirkonna valgustuse renoveerimise projekt</t>
  </si>
  <si>
    <t>Uspenski kabeli katuse ja Raadi leinamaja remont</t>
  </si>
  <si>
    <t>Kalmistu t tänavaäärsete piirete remont</t>
  </si>
  <si>
    <t>Rahumäe kalmistu abihoone projekteerimine</t>
  </si>
  <si>
    <t>Vana-Jaani kalmistu värava rekonstrueerimise projekteerimine</t>
  </si>
  <si>
    <t>TERVISHOID</t>
  </si>
  <si>
    <t xml:space="preserve"> </t>
  </si>
  <si>
    <t>VABA AEG ja KULTUUR</t>
  </si>
  <si>
    <t>Spordikool (Turu 8)</t>
  </si>
  <si>
    <t>Tamme staadion</t>
  </si>
  <si>
    <t>EMÜ spordihoone ehitamise toetamine</t>
  </si>
  <si>
    <t>TÜ spordihoone renoveerimise toetamine</t>
  </si>
  <si>
    <t>Annemõisa spordikeskuse olmehoone rekonstrueerimine</t>
  </si>
  <si>
    <t>MTÜ Jalgpallikool Tammeka Tartu Sepa staadioni rekonstrueerimiseks</t>
  </si>
  <si>
    <t>Veski baas</t>
  </si>
  <si>
    <t>Toetus Sõudmise ja Aerutamise Klubile, sh</t>
  </si>
  <si>
    <t>paadikuuri remondiks</t>
  </si>
  <si>
    <t>spordivarustuse soetamiseks</t>
  </si>
  <si>
    <t xml:space="preserve">SAle Tartu Sport, sh </t>
  </si>
  <si>
    <t>kunstmurutraktori rendimakseteks</t>
  </si>
  <si>
    <t xml:space="preserve">skatehalli ehitamiseks </t>
  </si>
  <si>
    <t xml:space="preserve">galeriide ja raadiomaja katuse remondiks </t>
  </si>
  <si>
    <t xml:space="preserve">rajatraktori rendimakseteks </t>
  </si>
  <si>
    <t>BMX krossiraja renoveerimiseks, ronimisseina rajamiseks ja dendropargi terviseradade arenduseks</t>
  </si>
  <si>
    <t xml:space="preserve">II Muusikakool (Kaunase pst 23) </t>
  </si>
  <si>
    <t xml:space="preserve">Anne Noortekeskus (Uus 56) </t>
  </si>
  <si>
    <t>Lille Maja (Lille 9)</t>
  </si>
  <si>
    <t xml:space="preserve">Hoone rekonstrueerimistöödeks (Kompanii 3/5) </t>
  </si>
  <si>
    <t>Linnaraamatukogu harukogudele videovalve paigaldamine</t>
  </si>
  <si>
    <t xml:space="preserve">  Muuseumid</t>
  </si>
  <si>
    <t>Linnamuuseumi (Narva mnt 25) püsinäituse arhitektuurne ja sisekujunduslik eskiisprojekt</t>
  </si>
  <si>
    <t>Linnamuuseum (Narva mnt 23) ruumide remondiks</t>
  </si>
  <si>
    <t xml:space="preserve">Linnakodaniku muuseum (Jaani 16) </t>
  </si>
  <si>
    <t>Toetus Tartu Maarja Kiriku SAle</t>
  </si>
  <si>
    <t>Teatrid</t>
  </si>
  <si>
    <t>Tartu Uue Teatri publikuala rekonstrueerimine</t>
  </si>
  <si>
    <t xml:space="preserve">  Muu vabaaeg ja kultuur</t>
  </si>
  <si>
    <t>Elleri amfiteater Toomemäe nõlval (kaasav eelarve)</t>
  </si>
  <si>
    <t>HARIDUS</t>
  </si>
  <si>
    <t xml:space="preserve">Uute lasteaedade rajamine, sh </t>
  </si>
  <si>
    <t>(Pepleri 1a)</t>
  </si>
  <si>
    <t>Pepler 1a</t>
  </si>
  <si>
    <t>Lasteaedade rekonstrueerimine, sh</t>
  </si>
  <si>
    <t>LA Rukkilill (Sepa 18)</t>
  </si>
  <si>
    <t>LA Karoliine (Kesk 6)</t>
  </si>
  <si>
    <t>LA Maarjamõisa (Puusepa 10)</t>
  </si>
  <si>
    <t>LA Ristikhein (Ropka tee 25)</t>
  </si>
  <si>
    <t>LA Krõll  (Anne 67)</t>
  </si>
  <si>
    <t>Lasteaedade rühmade remondid</t>
  </si>
  <si>
    <t>Lasteaedade köökide remondid ja köögiseadmete ost</t>
  </si>
  <si>
    <t>Lasteaedade mänguväljakute ja õuepaviljonide korrashoid</t>
  </si>
  <si>
    <t>A. Puškini Kool (Uus 54)</t>
  </si>
  <si>
    <t>Veeriku Kool (Veeriku 41)</t>
  </si>
  <si>
    <t>Tamme Kool (Tamme pst 24a)</t>
  </si>
  <si>
    <t>Raatuse Kool (Raatuse 88a)</t>
  </si>
  <si>
    <t>Kroonuaia Kool (Puiestee 62)</t>
  </si>
  <si>
    <t>Descartes'i Kool (Anne 65)</t>
  </si>
  <si>
    <t>H. Masingu Kool (Vanemuise 33)</t>
  </si>
  <si>
    <t>H. Treffneri Gümnaasium (Munga 12)</t>
  </si>
  <si>
    <t>Ruumide remont (Põllu 11)</t>
  </si>
  <si>
    <t>Õppeotstarbeliste seadmete soetamine</t>
  </si>
  <si>
    <t>Haridusasutuste territooriumide korrashoid</t>
  </si>
  <si>
    <t>Haridusasutuste välistreppide rekonstrueerimine</t>
  </si>
  <si>
    <t>Koolide spordiväljakud ja staadionid</t>
  </si>
  <si>
    <t>Karlova Kooli (Lina 2) staadion</t>
  </si>
  <si>
    <t>M. Reiniku kooli (Riia 25) staadion</t>
  </si>
  <si>
    <t>koolide spordiväljakud</t>
  </si>
  <si>
    <t>projektis Osirys osalemine</t>
  </si>
  <si>
    <t>SOTSIAALNE  KAITSE</t>
  </si>
  <si>
    <t xml:space="preserve">   Muu sotsiaalsete riskirühmade kaitse</t>
  </si>
  <si>
    <t>OÜ-le Anne Saun (Anne 44) lifti paigaldamiseks</t>
  </si>
  <si>
    <t>s h  võlakirjade emiteerimine (tasumine)</t>
  </si>
  <si>
    <t xml:space="preserve">       laenud (tasumine)</t>
  </si>
  <si>
    <t xml:space="preserve">       kapitalirent (tasumine)</t>
  </si>
  <si>
    <t>Annelinna kõnniteed</t>
  </si>
  <si>
    <t>Avalike tualettide projekteerimine</t>
  </si>
  <si>
    <t xml:space="preserve">   Raamatukogud - O. Lutsu nim Linnaraamatukogu</t>
  </si>
  <si>
    <t>Arena Tartu  (kaasav eelarve)</t>
  </si>
  <si>
    <t>K.Luige monumendi rajamine</t>
  </si>
  <si>
    <t>*</t>
  </si>
  <si>
    <t>investeeringud toetustest</t>
  </si>
  <si>
    <t>101.2.1</t>
  </si>
  <si>
    <t>Osaluste müük (+)</t>
  </si>
  <si>
    <t>101.1.1</t>
  </si>
  <si>
    <t>Osaluste soetus (-)</t>
  </si>
  <si>
    <t>Tööjõukulud</t>
  </si>
  <si>
    <t>Eelarve täitmise aruanne</t>
  </si>
  <si>
    <t>Täpsust. e/a</t>
  </si>
  <si>
    <t>Raekoja kellamäng</t>
  </si>
  <si>
    <t>Maa Muuseumi tee tarbeks</t>
  </si>
  <si>
    <t xml:space="preserve">      Roosi tn (Puiestee-Narva mnt)</t>
  </si>
  <si>
    <t xml:space="preserve">     Riia tn (Ravila-Pepleri)   </t>
  </si>
  <si>
    <t>Raudtee tn lõigus Riia-Ringtee kergkiiklustee</t>
  </si>
  <si>
    <t>Riia-Kase põik-Kabeli-Ülenurme-Võru kergliiklustee</t>
  </si>
  <si>
    <t>Arhitektuuri ja ehituse osak.arhiiviruumide remont</t>
  </si>
  <si>
    <t xml:space="preserve">   Maakorraldus</t>
  </si>
  <si>
    <t>maa ost linnarahva puhkeala tagamiseks</t>
  </si>
  <si>
    <t>Linna teed ja tänavad</t>
  </si>
  <si>
    <t>Adra, Künni, Vao tänavate rekontrueerimine</t>
  </si>
  <si>
    <t>Koostöö arendajatega Püssirohukeldri sissesõidutee rekonstrueerimiseks</t>
  </si>
  <si>
    <t>Bussijuhtide puhkepaviljon</t>
  </si>
  <si>
    <t>Tarkvara "Tartu bussiajad" litsents</t>
  </si>
  <si>
    <t>Kitsas tänav</t>
  </si>
  <si>
    <t>Emajõeäärsete paviljonide elektritoide ja liitumine</t>
  </si>
  <si>
    <t>Kalmistute andmebaasi loomine</t>
  </si>
  <si>
    <t>Raadi kalmistu kivisillutis</t>
  </si>
  <si>
    <t>Uus-Jaani, Vana-Peetri, Uus-Peetri ja Pauluse kalmistute väravate restaureerimine</t>
  </si>
  <si>
    <t>ABC Kinnisvarateenuste OÜle Aparaaditehase hoovi vaba aja veetmise keskuse loomiseks</t>
  </si>
  <si>
    <t>Vana tapamaja värava resataureerimine</t>
  </si>
  <si>
    <t>Telleri kabeli katuse remont</t>
  </si>
  <si>
    <t xml:space="preserve">Kivilinna Kool ( Kaunase pst 71) </t>
  </si>
  <si>
    <t>M.Härma Gümnaasium (Tõnissoni 3)</t>
  </si>
  <si>
    <t>Eakate hoolekande asutused</t>
  </si>
  <si>
    <t xml:space="preserve">
Hooldekodule majandusinventari soetus</t>
  </si>
  <si>
    <t>Tähtvere Päevakeskusele majandusinventari soetus</t>
  </si>
  <si>
    <t>Laste ja noorte hoolekande asutused</t>
  </si>
  <si>
    <t>Laste Turvakodu õueala inventari soetamine</t>
  </si>
  <si>
    <t>Eskiisi koostamine Jaama 72 II korruse kohandamiseks lasteaiale</t>
  </si>
  <si>
    <t>Kohandatud eluruumide eskiisprojekti koostamine</t>
  </si>
  <si>
    <t>Projekteerimised, sh</t>
  </si>
  <si>
    <t xml:space="preserve">   Sõpruse silla käsipuud ja kõnnitee remont</t>
  </si>
  <si>
    <t xml:space="preserve">   Tugimaantee 40 Tartu-Tiksoja äärne    jalgrattatee</t>
  </si>
  <si>
    <t xml:space="preserve">   Lootuse tn</t>
  </si>
  <si>
    <t>Riia-Lunini ristmikule lisafoori paigaldamine</t>
  </si>
  <si>
    <t>Osalemine Smart EN City projektis (linnakeskkonna tark ja säästev kujundamine)</t>
  </si>
  <si>
    <t xml:space="preserve">
Purrete paigaldamine Emajõe kallasrajale</t>
  </si>
  <si>
    <t>Purrete paigaldamine Emajõe kallasrajale</t>
  </si>
  <si>
    <t>K.J.Petersoni Gümnaasium</t>
  </si>
  <si>
    <t>Info-ja kommunikatsiooniseadmed</t>
  </si>
  <si>
    <t>Hoonete remont</t>
  </si>
  <si>
    <t xml:space="preserve">     Rukkilille-Nõmmeliiva ja Lubja tn</t>
  </si>
  <si>
    <t xml:space="preserve">     Pääsusilma-Raudtee-A.Starkopfi tn</t>
  </si>
  <si>
    <t xml:space="preserve">     Vaarika, Tervishoiu, Laseri, Kulli, Vardi, Kesa</t>
  </si>
  <si>
    <t xml:space="preserve">    Kartuli, Meloni, Mäe, Peetri ja Kasarmu</t>
  </si>
  <si>
    <t xml:space="preserve">   Turu-Teguri</t>
  </si>
  <si>
    <t xml:space="preserve">Kreutzwaldi tn </t>
  </si>
  <si>
    <t xml:space="preserve">   Kreutzwaldi tn rekonstr.lisaprojekteerimine</t>
  </si>
  <si>
    <t>Peetri tn tiigi süvendamine ja korrastamine</t>
  </si>
  <si>
    <t>Vanemuise trepid koostöös teatriga Vanemuine</t>
  </si>
  <si>
    <t>Ülekäiguridade täiendav valgustamine</t>
  </si>
  <si>
    <t>P.Põllu pargi WC</t>
  </si>
  <si>
    <t>Koolihoone Nooruse 9</t>
  </si>
  <si>
    <t>MTÜ Puuetega Inimeste Koda</t>
  </si>
  <si>
    <t xml:space="preserve"> Toetus Mäe kodu (Mäe 33) rekonstrueerimise projektile</t>
  </si>
  <si>
    <r>
      <t xml:space="preserve">   </t>
    </r>
    <r>
      <rPr>
        <b/>
        <i/>
        <sz val="11"/>
        <rFont val="Times New Roman"/>
        <family val="1"/>
      </rPr>
      <t>Linnavalitsus</t>
    </r>
  </si>
  <si>
    <r>
      <rPr>
        <i/>
        <sz val="11"/>
        <rFont val="Times New Roman"/>
        <family val="1"/>
      </rPr>
      <t xml:space="preserve">
</t>
    </r>
    <r>
      <rPr>
        <sz val="11"/>
        <rFont val="Times New Roman"/>
        <family val="1"/>
      </rPr>
      <t>maa ost teede ja tänavate aluse maa korraldamiseks</t>
    </r>
  </si>
  <si>
    <t>Sepa (Turu-Tähe) tn kõnnitee</t>
  </si>
  <si>
    <t>Pallase pst 100 kergliiklustee</t>
  </si>
  <si>
    <t>Tiigi tn kõnnitee TÜ raamatukogu ulatuses</t>
  </si>
  <si>
    <r>
      <t xml:space="preserve">   </t>
    </r>
    <r>
      <rPr>
        <b/>
        <i/>
        <sz val="11"/>
        <rFont val="Times New Roman"/>
        <family val="1"/>
      </rPr>
      <t>Üldmajanduslikud arendusprojektid</t>
    </r>
  </si>
  <si>
    <r>
      <t xml:space="preserve">   </t>
    </r>
    <r>
      <rPr>
        <b/>
        <i/>
        <sz val="11"/>
        <rFont val="Times New Roman"/>
        <family val="1"/>
      </rPr>
      <t xml:space="preserve">Jäätmekäitlus </t>
    </r>
    <r>
      <rPr>
        <sz val="11"/>
        <rFont val="Times New Roman"/>
        <family val="1"/>
      </rPr>
      <t>- toetus jäätmemajade ja süvakogumismahutite rajamiseks</t>
    </r>
  </si>
  <si>
    <r>
      <t xml:space="preserve">   Veemajandus </t>
    </r>
    <r>
      <rPr>
        <sz val="11"/>
        <rFont val="Times New Roman"/>
        <family val="1"/>
      </rPr>
      <t>- toetus hüdrantide rajamiseks</t>
    </r>
  </si>
  <si>
    <r>
      <t xml:space="preserve">   </t>
    </r>
    <r>
      <rPr>
        <b/>
        <i/>
        <sz val="11"/>
        <rFont val="Times New Roman"/>
        <family val="1"/>
      </rPr>
      <t>Haljastus</t>
    </r>
  </si>
  <si>
    <t xml:space="preserve">   Muu keskkonnakaitse 
</t>
  </si>
  <si>
    <r>
      <t xml:space="preserve">   Muu tervishoid</t>
    </r>
    <r>
      <rPr>
        <sz val="11"/>
        <rFont val="Times New Roman"/>
        <family val="1"/>
      </rPr>
      <t xml:space="preserve"> - Annelinna tervisekeskuse ruumimahu määratlemine ja eskiisprojekti koostamine</t>
    </r>
  </si>
  <si>
    <t>Tartu Kalevi Veemotoklubi stardisildade rekonstrueerine</t>
  </si>
  <si>
    <r>
      <t xml:space="preserve">   </t>
    </r>
    <r>
      <rPr>
        <b/>
        <i/>
        <sz val="11"/>
        <rFont val="Times New Roman"/>
        <family val="1"/>
      </rPr>
      <t>Puhkepargid</t>
    </r>
    <r>
      <rPr>
        <sz val="11"/>
        <rFont val="Times New Roman"/>
        <family val="1"/>
      </rPr>
      <t xml:space="preserve"> - SA-le Tähtvere Puhkepark</t>
    </r>
  </si>
  <si>
    <t>Worldloppeti (WL) peakorteri ruumide remont</t>
  </si>
  <si>
    <r>
      <t xml:space="preserve">   </t>
    </r>
    <r>
      <rPr>
        <b/>
        <i/>
        <sz val="11"/>
        <rFont val="Times New Roman"/>
        <family val="1"/>
      </rPr>
      <t>Laste huvikoolid</t>
    </r>
  </si>
  <si>
    <r>
      <t xml:space="preserve">   </t>
    </r>
    <r>
      <rPr>
        <b/>
        <i/>
        <sz val="11"/>
        <rFont val="Times New Roman"/>
        <family val="1"/>
      </rPr>
      <t>Laste huvialamajad ja keskused</t>
    </r>
  </si>
  <si>
    <r>
      <t xml:space="preserve">   </t>
    </r>
    <r>
      <rPr>
        <b/>
        <i/>
        <sz val="11"/>
        <rFont val="Times New Roman"/>
        <family val="1"/>
      </rPr>
      <t xml:space="preserve">Kirjastused - </t>
    </r>
    <r>
      <rPr>
        <sz val="11"/>
        <rFont val="Times New Roman"/>
        <family val="1"/>
      </rPr>
      <t>Eesti Kirjanike Liidu Tartu osakonnale Tartu Kirjanduse Maja (Vanemuise 19) välistrepi remondiks</t>
    </r>
  </si>
  <si>
    <r>
      <t xml:space="preserve"> Põhikoolid (09212) </t>
    </r>
    <r>
      <rPr>
        <sz val="11"/>
        <rFont val="Times New Roman"/>
        <family val="1"/>
      </rPr>
      <t>- 
põhikoolide rekonstrueerimine, sh</t>
    </r>
  </si>
  <si>
    <r>
      <t xml:space="preserve">    Gümnaasiumid (09213)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</si>
  <si>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Annelinna Gümnaasium (Kaunase pst 68)</t>
    </r>
  </si>
  <si>
    <t>Descartes'i Kooli ja Hansa Kooli ühine spordiväljak</t>
  </si>
  <si>
    <r>
      <t xml:space="preserve">   </t>
    </r>
    <r>
      <rPr>
        <b/>
        <i/>
        <sz val="11"/>
        <rFont val="Times New Roman"/>
        <family val="1"/>
      </rPr>
      <t>Kutseõppeasutused (09222)</t>
    </r>
    <r>
      <rPr>
        <b/>
        <sz val="11"/>
        <rFont val="Times New Roman"/>
        <family val="1"/>
      </rPr>
      <t xml:space="preserve"> - Kutsehariduskeskus</t>
    </r>
  </si>
  <si>
    <r>
      <t xml:space="preserve">    Taseme alusel mittemääratletav haridus </t>
    </r>
    <r>
      <rPr>
        <sz val="11"/>
        <color indexed="8"/>
        <rFont val="Times New Roman"/>
        <family val="1"/>
      </rPr>
      <t>- 
Kutsehariduskeskuse õppeotstarbeliste seadmete soetamine</t>
    </r>
  </si>
  <si>
    <r>
      <t xml:space="preserve">   </t>
    </r>
    <r>
      <rPr>
        <b/>
        <i/>
        <sz val="11"/>
        <rFont val="Times New Roman"/>
        <family val="1"/>
      </rPr>
      <t>Muu puuetega inimeste sotsiaalne kaitse</t>
    </r>
    <r>
      <rPr>
        <sz val="11"/>
        <rFont val="Times New Roman"/>
        <family val="1"/>
      </rPr>
      <t xml:space="preserve"> </t>
    </r>
  </si>
  <si>
    <r>
      <t xml:space="preserve"> </t>
    </r>
    <r>
      <rPr>
        <sz val="11"/>
        <rFont val="Times New Roman"/>
        <family val="1"/>
      </rPr>
      <t xml:space="preserve">
Puuetega Inimeste Koja ruumide (Rahu 8) remont</t>
    </r>
  </si>
  <si>
    <t>STO</t>
  </si>
  <si>
    <t>Trepironija soetus</t>
  </si>
  <si>
    <t xml:space="preserve">    Turu tn (Riia- Soola) </t>
  </si>
  <si>
    <t xml:space="preserve">   Aruküla tee</t>
  </si>
  <si>
    <t xml:space="preserve">   Tiigi (Tiigi 12-Pepleri)</t>
  </si>
  <si>
    <t>Turu tn kõnnitee</t>
  </si>
  <si>
    <t>Turism</t>
  </si>
  <si>
    <t>ASO</t>
  </si>
  <si>
    <t>Tarkvara Teleport Professional litsentsi ost</t>
  </si>
  <si>
    <t>väikebussi väljaost</t>
  </si>
  <si>
    <t>Uspenski kalmistu telliskabel</t>
  </si>
  <si>
    <t xml:space="preserve">Toetus Tartu Uue Teatrile </t>
  </si>
  <si>
    <t>.</t>
  </si>
  <si>
    <t>seisuga 31.12.2016</t>
  </si>
  <si>
    <t>detsember</t>
  </si>
  <si>
    <t xml:space="preserve">      Oa tn</t>
  </si>
  <si>
    <t xml:space="preserve">      Soinaste tn</t>
  </si>
  <si>
    <t xml:space="preserve">      Jänese tn</t>
  </si>
  <si>
    <t xml:space="preserve">      Vasara tn (Sepa staadioni ümbrus)</t>
  </si>
  <si>
    <t xml:space="preserve">      Muuseumi tee rajamise ja Põhja pst rek.projekt</t>
  </si>
  <si>
    <t xml:space="preserve">      Kapsa tn</t>
  </si>
  <si>
    <t xml:space="preserve">     Kaarsilla elektrikaablite ümberprojekteerimine</t>
  </si>
  <si>
    <t xml:space="preserve">     Lossi 15B sademevee ärajuhtimise projekt</t>
  </si>
  <si>
    <t xml:space="preserve">    Väike -Kaar, Laane,Lunini põik, Lunini, Side</t>
  </si>
  <si>
    <t>Masingu Kool (Vanemuise 33)</t>
  </si>
  <si>
    <r>
      <t xml:space="preserve">   Põhi- ja üldkeskhariduse kaudsed kulud </t>
    </r>
    <r>
      <rPr>
        <b/>
        <sz val="11"/>
        <color indexed="8"/>
        <rFont val="Times New Roman"/>
        <family val="1"/>
      </rPr>
      <t>(täistsükli koolid (09220)</t>
    </r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</si>
</sst>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%"/>
    <numFmt numFmtId="167" formatCode="_(* #,##0.00_);_(* \(#,##0.00\);_(* &quot;-&quot;??_);_(@_)"/>
    <numFmt numFmtId="168" formatCode="\ #,##0.00&quot;     &quot;;\-#,##0.00&quot;     &quot;;&quot; -&quot;#&quot;     &quot;;@\ 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b/>
      <sz val="9"/>
      <color indexed="62"/>
      <name val="Times New Roman"/>
      <family val="1"/>
    </font>
    <font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4" tint="-0.24997000396251678"/>
      <name val="Times New Roman"/>
      <family val="1"/>
    </font>
    <font>
      <b/>
      <sz val="9"/>
      <color theme="4" tint="-0.24997000396251678"/>
      <name val="Times New Roman"/>
      <family val="1"/>
    </font>
    <font>
      <sz val="12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i/>
      <sz val="10"/>
      <color theme="4" tint="-0.24997000396251678"/>
      <name val="Times New Roman"/>
      <family val="1"/>
    </font>
    <font>
      <i/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ED2D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>
        <color indexed="63"/>
      </right>
      <top>
        <color indexed="63"/>
      </top>
      <bottom style="hair"/>
    </border>
    <border>
      <left style="hair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 style="thin"/>
    </border>
    <border>
      <left style="hair"/>
      <right/>
      <top style="hair"/>
      <bottom/>
    </border>
    <border>
      <left style="hair"/>
      <right style="hair"/>
      <top style="thin"/>
      <bottom style="thin"/>
    </border>
    <border>
      <left style="hair"/>
      <right/>
      <top style="thin"/>
      <bottom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medium"/>
      <bottom/>
    </border>
    <border>
      <left/>
      <right/>
      <top style="medium"/>
      <bottom/>
    </border>
  </borders>
  <cellStyleXfs count="6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9" fillId="52" borderId="1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53" borderId="2" applyNumberFormat="0" applyAlignment="0" applyProtection="0"/>
    <xf numFmtId="0" fontId="18" fillId="53" borderId="2" applyNumberFormat="0" applyAlignment="0" applyProtection="0"/>
    <xf numFmtId="0" fontId="23" fillId="54" borderId="3" applyNumberFormat="0" applyAlignment="0" applyProtection="0"/>
    <xf numFmtId="0" fontId="23" fillId="54" borderId="3" applyNumberFormat="0" applyAlignment="0" applyProtection="0"/>
    <xf numFmtId="167" fontId="7" fillId="0" borderId="0" applyFont="0" applyFill="0" applyBorder="0" applyAlignment="0" applyProtection="0"/>
    <xf numFmtId="168" fontId="3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6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57" borderId="8" applyNumberFormat="0" applyAlignment="0" applyProtection="0"/>
    <xf numFmtId="0" fontId="65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0" fillId="58" borderId="11" applyNumberFormat="0" applyFont="0" applyAlignment="0" applyProtection="0"/>
    <xf numFmtId="0" fontId="66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61" borderId="12" applyNumberFormat="0" applyAlignment="0" applyProtection="0"/>
    <xf numFmtId="0" fontId="7" fillId="61" borderId="12" applyNumberFormat="0" applyAlignment="0" applyProtection="0"/>
    <xf numFmtId="0" fontId="32" fillId="53" borderId="13" applyNumberFormat="0" applyAlignment="0" applyProtection="0"/>
    <xf numFmtId="0" fontId="32" fillId="53" borderId="13" applyNumberFormat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70" fillId="0" borderId="16" applyNumberFormat="0" applyFill="0" applyAlignment="0" applyProtection="0"/>
    <xf numFmtId="0" fontId="70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68" borderId="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52" borderId="18" applyNumberFormat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72" borderId="0" applyNumberFormat="0" applyBorder="0" applyAlignment="0" applyProtection="0"/>
    <xf numFmtId="0" fontId="31" fillId="19" borderId="2" applyNumberFormat="0" applyAlignment="0" applyProtection="0"/>
    <xf numFmtId="0" fontId="32" fillId="73" borderId="13" applyNumberFormat="0" applyAlignment="0" applyProtection="0"/>
    <xf numFmtId="0" fontId="18" fillId="73" borderId="2" applyNumberFormat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74" borderId="3" applyNumberFormat="0" applyAlignment="0" applyProtection="0"/>
    <xf numFmtId="0" fontId="26" fillId="0" borderId="0" applyNumberFormat="0" applyFill="0" applyBorder="0" applyAlignment="0" applyProtection="0"/>
    <xf numFmtId="0" fontId="25" fillId="75" borderId="0" applyNumberFormat="0" applyBorder="0" applyAlignment="0" applyProtection="0"/>
    <xf numFmtId="0" fontId="1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76" borderId="12" applyNumberFormat="0" applyFont="0" applyAlignment="0" applyProtection="0"/>
    <xf numFmtId="0" fontId="24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0" fillId="16" borderId="0" applyNumberFormat="0" applyBorder="0" applyAlignment="0" applyProtection="0"/>
  </cellStyleXfs>
  <cellXfs count="528">
    <xf numFmtId="0" fontId="0" fillId="0" borderId="0" xfId="0" applyFont="1" applyAlignment="1">
      <alignment/>
    </xf>
    <xf numFmtId="0" fontId="6" fillId="0" borderId="0" xfId="585" applyFont="1" applyAlignment="1">
      <alignment vertical="center"/>
      <protection/>
    </xf>
    <xf numFmtId="0" fontId="11" fillId="0" borderId="0" xfId="625" applyFont="1" applyFill="1" applyBorder="1" applyAlignment="1">
      <alignment horizontal="left" vertical="center"/>
      <protection/>
    </xf>
    <xf numFmtId="0" fontId="5" fillId="0" borderId="0" xfId="625" applyFont="1" applyFill="1" applyBorder="1" applyAlignment="1">
      <alignment horizontal="left" vertical="center"/>
      <protection/>
    </xf>
    <xf numFmtId="0" fontId="11" fillId="77" borderId="0" xfId="625" applyFont="1" applyFill="1" applyBorder="1" applyAlignment="1">
      <alignment horizontal="left" vertical="center"/>
      <protection/>
    </xf>
    <xf numFmtId="0" fontId="6" fillId="77" borderId="0" xfId="625" applyFont="1" applyFill="1" applyBorder="1" applyAlignment="1">
      <alignment horizontal="left" vertical="center"/>
      <protection/>
    </xf>
    <xf numFmtId="0" fontId="11" fillId="0" borderId="0" xfId="585" applyFont="1" applyFill="1" applyBorder="1" applyAlignment="1">
      <alignment horizontal="left" vertical="center"/>
      <protection/>
    </xf>
    <xf numFmtId="49" fontId="11" fillId="77" borderId="0" xfId="625" applyNumberFormat="1" applyFont="1" applyFill="1" applyBorder="1" applyAlignment="1">
      <alignment horizontal="left" vertical="center"/>
      <protection/>
    </xf>
    <xf numFmtId="0" fontId="5" fillId="58" borderId="0" xfId="625" applyFont="1" applyFill="1" applyBorder="1" applyAlignment="1">
      <alignment horizontal="left" vertical="center"/>
      <protection/>
    </xf>
    <xf numFmtId="3" fontId="16" fillId="58" borderId="0" xfId="585" applyNumberFormat="1" applyFont="1" applyFill="1" applyBorder="1" applyAlignment="1" applyProtection="1">
      <alignment vertical="center"/>
      <protection/>
    </xf>
    <xf numFmtId="3" fontId="14" fillId="78" borderId="0" xfId="625" applyNumberFormat="1" applyFont="1" applyFill="1" applyBorder="1" applyAlignment="1" applyProtection="1">
      <alignment vertical="center"/>
      <protection/>
    </xf>
    <xf numFmtId="0" fontId="7" fillId="0" borderId="0" xfId="562">
      <alignment/>
      <protection/>
    </xf>
    <xf numFmtId="0" fontId="2" fillId="0" borderId="0" xfId="562" applyFont="1" applyFill="1" applyBorder="1">
      <alignment/>
      <protection/>
    </xf>
    <xf numFmtId="0" fontId="2" fillId="0" borderId="0" xfId="562" applyFont="1" applyFill="1" applyAlignment="1">
      <alignment horizontal="center"/>
      <protection/>
    </xf>
    <xf numFmtId="0" fontId="74" fillId="0" borderId="0" xfId="562" applyFont="1" applyFill="1">
      <alignment/>
      <protection/>
    </xf>
    <xf numFmtId="0" fontId="2" fillId="0" borderId="0" xfId="562" applyFont="1" applyFill="1">
      <alignment/>
      <protection/>
    </xf>
    <xf numFmtId="1" fontId="2" fillId="0" borderId="0" xfId="562" applyNumberFormat="1" applyFont="1" applyFill="1" applyAlignment="1">
      <alignment horizontal="center"/>
      <protection/>
    </xf>
    <xf numFmtId="0" fontId="3" fillId="0" borderId="0" xfId="562" applyFont="1" applyFill="1" applyBorder="1" applyAlignment="1">
      <alignment wrapText="1"/>
      <protection/>
    </xf>
    <xf numFmtId="0" fontId="5" fillId="0" borderId="0" xfId="562" applyFont="1" applyFill="1" applyBorder="1" applyAlignment="1">
      <alignment horizontal="center" wrapText="1"/>
      <protection/>
    </xf>
    <xf numFmtId="3" fontId="75" fillId="0" borderId="0" xfId="562" applyNumberFormat="1" applyFont="1" applyFill="1" applyBorder="1">
      <alignment/>
      <protection/>
    </xf>
    <xf numFmtId="1" fontId="12" fillId="0" borderId="0" xfId="562" applyNumberFormat="1" applyFont="1" applyBorder="1" applyAlignment="1">
      <alignment horizontal="right" vertical="center"/>
      <protection/>
    </xf>
    <xf numFmtId="0" fontId="2" fillId="0" borderId="0" xfId="562" applyFont="1" applyFill="1" applyBorder="1" applyAlignment="1">
      <alignment vertical="center"/>
      <protection/>
    </xf>
    <xf numFmtId="0" fontId="2" fillId="0" borderId="19" xfId="562" applyFont="1" applyFill="1" applyBorder="1" applyAlignment="1">
      <alignment vertical="center"/>
      <protection/>
    </xf>
    <xf numFmtId="0" fontId="2" fillId="0" borderId="20" xfId="562" applyFont="1" applyFill="1" applyBorder="1" applyAlignment="1">
      <alignment vertical="center"/>
      <protection/>
    </xf>
    <xf numFmtId="0" fontId="74" fillId="0" borderId="0" xfId="562" applyFont="1" applyFill="1" applyAlignment="1">
      <alignment vertical="center"/>
      <protection/>
    </xf>
    <xf numFmtId="0" fontId="2" fillId="0" borderId="0" xfId="562" applyFont="1" applyFill="1" applyAlignment="1">
      <alignment vertical="center"/>
      <protection/>
    </xf>
    <xf numFmtId="0" fontId="2" fillId="0" borderId="20" xfId="562" applyFont="1" applyFill="1" applyBorder="1">
      <alignment/>
      <protection/>
    </xf>
    <xf numFmtId="0" fontId="2" fillId="0" borderId="21" xfId="562" applyFont="1" applyFill="1" applyBorder="1" applyAlignment="1">
      <alignment vertical="center"/>
      <protection/>
    </xf>
    <xf numFmtId="0" fontId="2" fillId="0" borderId="22" xfId="562" applyFont="1" applyFill="1" applyBorder="1" applyAlignment="1">
      <alignment vertical="center"/>
      <protection/>
    </xf>
    <xf numFmtId="0" fontId="33" fillId="0" borderId="0" xfId="562" applyFont="1" applyFill="1" applyBorder="1" applyAlignment="1">
      <alignment vertical="center"/>
      <protection/>
    </xf>
    <xf numFmtId="0" fontId="76" fillId="0" borderId="0" xfId="562" applyFont="1" applyFill="1" applyAlignment="1">
      <alignment vertical="center"/>
      <protection/>
    </xf>
    <xf numFmtId="0" fontId="33" fillId="0" borderId="0" xfId="562" applyFont="1" applyFill="1" applyAlignment="1">
      <alignment vertical="center"/>
      <protection/>
    </xf>
    <xf numFmtId="0" fontId="2" fillId="0" borderId="23" xfId="562" applyFont="1" applyFill="1" applyBorder="1" applyAlignment="1">
      <alignment vertical="center"/>
      <protection/>
    </xf>
    <xf numFmtId="0" fontId="2" fillId="0" borderId="0" xfId="562" applyFont="1" applyFill="1" applyBorder="1" applyAlignment="1">
      <alignment/>
      <protection/>
    </xf>
    <xf numFmtId="0" fontId="74" fillId="0" borderId="0" xfId="562" applyFont="1" applyFill="1" applyBorder="1">
      <alignment/>
      <protection/>
    </xf>
    <xf numFmtId="0" fontId="2" fillId="0" borderId="20" xfId="562" applyFont="1" applyFill="1" applyBorder="1" applyAlignment="1">
      <alignment/>
      <protection/>
    </xf>
    <xf numFmtId="0" fontId="74" fillId="0" borderId="0" xfId="562" applyFont="1" applyFill="1" applyBorder="1" applyAlignment="1">
      <alignment/>
      <protection/>
    </xf>
    <xf numFmtId="0" fontId="74" fillId="0" borderId="0" xfId="562" applyFont="1" applyFill="1" applyAlignment="1">
      <alignment/>
      <protection/>
    </xf>
    <xf numFmtId="0" fontId="2" fillId="0" borderId="0" xfId="562" applyFont="1" applyFill="1" applyAlignment="1">
      <alignment/>
      <protection/>
    </xf>
    <xf numFmtId="0" fontId="2" fillId="0" borderId="21" xfId="562" applyFont="1" applyFill="1" applyBorder="1">
      <alignment/>
      <protection/>
    </xf>
    <xf numFmtId="0" fontId="2" fillId="0" borderId="22" xfId="562" applyFont="1" applyFill="1" applyBorder="1">
      <alignment/>
      <protection/>
    </xf>
    <xf numFmtId="0" fontId="74" fillId="0" borderId="0" xfId="562" applyFont="1" applyFill="1" applyBorder="1" applyAlignment="1">
      <alignment vertical="center"/>
      <protection/>
    </xf>
    <xf numFmtId="0" fontId="3" fillId="0" borderId="0" xfId="562" applyFont="1" applyFill="1" applyBorder="1" applyAlignment="1">
      <alignment vertical="center"/>
      <protection/>
    </xf>
    <xf numFmtId="0" fontId="3" fillId="0" borderId="20" xfId="562" applyFont="1" applyFill="1" applyBorder="1" applyAlignment="1">
      <alignment vertical="center"/>
      <protection/>
    </xf>
    <xf numFmtId="0" fontId="77" fillId="0" borderId="0" xfId="562" applyFont="1" applyFill="1" applyBorder="1" applyAlignment="1">
      <alignment vertical="center"/>
      <protection/>
    </xf>
    <xf numFmtId="0" fontId="12" fillId="0" borderId="0" xfId="562" applyFont="1" applyFill="1" applyBorder="1">
      <alignment/>
      <protection/>
    </xf>
    <xf numFmtId="49" fontId="12" fillId="0" borderId="24" xfId="562" applyNumberFormat="1" applyFont="1" applyFill="1" applyBorder="1" applyAlignment="1">
      <alignment horizontal="right" wrapText="1"/>
      <protection/>
    </xf>
    <xf numFmtId="3" fontId="12" fillId="0" borderId="25" xfId="562" applyNumberFormat="1" applyFont="1" applyFill="1" applyBorder="1">
      <alignment/>
      <protection/>
    </xf>
    <xf numFmtId="0" fontId="12" fillId="0" borderId="20" xfId="562" applyFont="1" applyFill="1" applyBorder="1">
      <alignment/>
      <protection/>
    </xf>
    <xf numFmtId="0" fontId="78" fillId="0" borderId="0" xfId="562" applyFont="1" applyFill="1">
      <alignment/>
      <protection/>
    </xf>
    <xf numFmtId="0" fontId="12" fillId="0" borderId="0" xfId="562" applyFont="1" applyFill="1">
      <alignment/>
      <protection/>
    </xf>
    <xf numFmtId="0" fontId="2" fillId="0" borderId="19" xfId="562" applyFont="1" applyFill="1" applyBorder="1" applyAlignment="1">
      <alignment/>
      <protection/>
    </xf>
    <xf numFmtId="0" fontId="2" fillId="0" borderId="23" xfId="562" applyFont="1" applyFill="1" applyBorder="1" applyAlignment="1">
      <alignment/>
      <protection/>
    </xf>
    <xf numFmtId="49" fontId="12" fillId="0" borderId="25" xfId="562" applyNumberFormat="1" applyFont="1" applyFill="1" applyBorder="1" applyAlignment="1">
      <alignment horizontal="center" wrapText="1"/>
      <protection/>
    </xf>
    <xf numFmtId="49" fontId="12" fillId="0" borderId="26" xfId="562" applyNumberFormat="1" applyFont="1" applyFill="1" applyBorder="1" applyAlignment="1">
      <alignment horizontal="right" wrapText="1"/>
      <protection/>
    </xf>
    <xf numFmtId="49" fontId="12" fillId="0" borderId="27" xfId="562" applyNumberFormat="1" applyFont="1" applyFill="1" applyBorder="1" applyAlignment="1">
      <alignment horizontal="center" wrapText="1"/>
      <protection/>
    </xf>
    <xf numFmtId="3" fontId="12" fillId="0" borderId="27" xfId="562" applyNumberFormat="1" applyFont="1" applyFill="1" applyBorder="1">
      <alignment/>
      <protection/>
    </xf>
    <xf numFmtId="0" fontId="12" fillId="0" borderId="0" xfId="562" applyFont="1" applyFill="1" applyBorder="1" applyAlignment="1">
      <alignment vertical="center"/>
      <protection/>
    </xf>
    <xf numFmtId="49" fontId="12" fillId="0" borderId="26" xfId="562" applyNumberFormat="1" applyFont="1" applyFill="1" applyBorder="1" applyAlignment="1">
      <alignment horizontal="right" vertical="center" wrapText="1"/>
      <protection/>
    </xf>
    <xf numFmtId="49" fontId="12" fillId="0" borderId="27" xfId="562" applyNumberFormat="1" applyFont="1" applyFill="1" applyBorder="1" applyAlignment="1">
      <alignment horizontal="center" vertical="center" wrapText="1"/>
      <protection/>
    </xf>
    <xf numFmtId="3" fontId="12" fillId="0" borderId="27" xfId="562" applyNumberFormat="1" applyFont="1" applyFill="1" applyBorder="1" applyAlignment="1">
      <alignment vertical="center"/>
      <protection/>
    </xf>
    <xf numFmtId="0" fontId="12" fillId="0" borderId="20" xfId="562" applyFont="1" applyFill="1" applyBorder="1" applyAlignment="1">
      <alignment vertical="center"/>
      <protection/>
    </xf>
    <xf numFmtId="0" fontId="78" fillId="0" borderId="0" xfId="562" applyFont="1" applyFill="1" applyAlignment="1">
      <alignment vertical="center"/>
      <protection/>
    </xf>
    <xf numFmtId="0" fontId="12" fillId="0" borderId="0" xfId="562" applyFont="1" applyFill="1" applyAlignment="1">
      <alignment vertical="center"/>
      <protection/>
    </xf>
    <xf numFmtId="0" fontId="12" fillId="0" borderId="24" xfId="562" applyFont="1" applyFill="1" applyBorder="1" applyAlignment="1">
      <alignment horizontal="right" wrapText="1"/>
      <protection/>
    </xf>
    <xf numFmtId="0" fontId="12" fillId="0" borderId="25" xfId="562" applyFont="1" applyFill="1" applyBorder="1" applyAlignment="1">
      <alignment horizontal="center" wrapText="1"/>
      <protection/>
    </xf>
    <xf numFmtId="0" fontId="78" fillId="0" borderId="0" xfId="562" applyFont="1" applyFill="1" applyBorder="1">
      <alignment/>
      <protection/>
    </xf>
    <xf numFmtId="0" fontId="12" fillId="8" borderId="24" xfId="562" applyFont="1" applyFill="1" applyBorder="1" applyAlignment="1">
      <alignment horizontal="right" wrapText="1"/>
      <protection/>
    </xf>
    <xf numFmtId="0" fontId="12" fillId="8" borderId="25" xfId="562" applyFont="1" applyFill="1" applyBorder="1" applyAlignment="1">
      <alignment horizontal="center" wrapText="1"/>
      <protection/>
    </xf>
    <xf numFmtId="3" fontId="12" fillId="8" borderId="25" xfId="562" applyNumberFormat="1" applyFont="1" applyFill="1" applyBorder="1">
      <alignment/>
      <protection/>
    </xf>
    <xf numFmtId="0" fontId="12" fillId="8" borderId="26" xfId="562" applyFont="1" applyFill="1" applyBorder="1" applyAlignment="1">
      <alignment horizontal="right" wrapText="1"/>
      <protection/>
    </xf>
    <xf numFmtId="0" fontId="12" fillId="8" borderId="27" xfId="562" applyFont="1" applyFill="1" applyBorder="1" applyAlignment="1">
      <alignment horizontal="center" wrapText="1"/>
      <protection/>
    </xf>
    <xf numFmtId="3" fontId="12" fillId="8" borderId="27" xfId="562" applyNumberFormat="1" applyFont="1" applyFill="1" applyBorder="1">
      <alignment/>
      <protection/>
    </xf>
    <xf numFmtId="0" fontId="12" fillId="0" borderId="27" xfId="562" applyFont="1" applyFill="1" applyBorder="1" applyAlignment="1">
      <alignment horizontal="center" wrapText="1"/>
      <protection/>
    </xf>
    <xf numFmtId="3" fontId="34" fillId="0" borderId="25" xfId="562" applyNumberFormat="1" applyFont="1" applyFill="1" applyBorder="1">
      <alignment/>
      <protection/>
    </xf>
    <xf numFmtId="3" fontId="79" fillId="0" borderId="25" xfId="562" applyNumberFormat="1" applyFont="1" applyFill="1" applyBorder="1">
      <alignment/>
      <protection/>
    </xf>
    <xf numFmtId="0" fontId="12" fillId="0" borderId="21" xfId="562" applyFont="1" applyFill="1" applyBorder="1">
      <alignment/>
      <protection/>
    </xf>
    <xf numFmtId="0" fontId="12" fillId="0" borderId="22" xfId="562" applyFont="1" applyFill="1" applyBorder="1">
      <alignment/>
      <protection/>
    </xf>
    <xf numFmtId="0" fontId="2" fillId="0" borderId="22" xfId="562" applyFont="1" applyFill="1" applyBorder="1" applyAlignment="1">
      <alignment vertical="center" wrapText="1"/>
      <protection/>
    </xf>
    <xf numFmtId="1" fontId="2" fillId="0" borderId="0" xfId="562" applyNumberFormat="1" applyFont="1" applyFill="1">
      <alignment/>
      <protection/>
    </xf>
    <xf numFmtId="0" fontId="2" fillId="0" borderId="0" xfId="562" applyFont="1" applyFill="1" applyAlignment="1">
      <alignment wrapText="1"/>
      <protection/>
    </xf>
    <xf numFmtId="0" fontId="5" fillId="0" borderId="0" xfId="562" applyFont="1" applyFill="1" applyAlignment="1">
      <alignment horizontal="center" wrapText="1"/>
      <protection/>
    </xf>
    <xf numFmtId="164" fontId="2" fillId="0" borderId="0" xfId="562" applyNumberFormat="1" applyFont="1" applyFill="1" applyBorder="1">
      <alignment/>
      <protection/>
    </xf>
    <xf numFmtId="3" fontId="16" fillId="0" borderId="0" xfId="625" applyNumberFormat="1" applyFont="1" applyFill="1" applyBorder="1" applyAlignment="1" applyProtection="1">
      <alignment vertical="center"/>
      <protection locked="0"/>
    </xf>
    <xf numFmtId="3" fontId="16" fillId="0" borderId="0" xfId="625" applyNumberFormat="1" applyFont="1" applyFill="1" applyBorder="1" applyAlignment="1" applyProtection="1">
      <alignment vertical="center"/>
      <protection/>
    </xf>
    <xf numFmtId="3" fontId="16" fillId="77" borderId="0" xfId="625" applyNumberFormat="1" applyFont="1" applyFill="1" applyBorder="1" applyAlignment="1" applyProtection="1">
      <alignment vertical="center"/>
      <protection locked="0"/>
    </xf>
    <xf numFmtId="3" fontId="11" fillId="0" borderId="0" xfId="625" applyNumberFormat="1" applyFont="1" applyFill="1" applyBorder="1" applyAlignment="1" applyProtection="1">
      <alignment vertical="center"/>
      <protection/>
    </xf>
    <xf numFmtId="3" fontId="2" fillId="0" borderId="0" xfId="562" applyNumberFormat="1" applyFont="1" applyFill="1" applyAlignment="1">
      <alignment vertical="center"/>
      <protection/>
    </xf>
    <xf numFmtId="3" fontId="2" fillId="0" borderId="0" xfId="562" applyNumberFormat="1" applyFont="1" applyFill="1">
      <alignment/>
      <protection/>
    </xf>
    <xf numFmtId="0" fontId="12" fillId="0" borderId="28" xfId="562" applyFont="1" applyFill="1" applyBorder="1" applyAlignment="1">
      <alignment horizontal="right" wrapText="1"/>
      <protection/>
    </xf>
    <xf numFmtId="0" fontId="12" fillId="0" borderId="29" xfId="562" applyFont="1" applyFill="1" applyBorder="1" applyAlignment="1">
      <alignment horizontal="center" wrapText="1"/>
      <protection/>
    </xf>
    <xf numFmtId="3" fontId="79" fillId="0" borderId="29" xfId="562" applyNumberFormat="1" applyFont="1" applyFill="1" applyBorder="1">
      <alignment/>
      <protection/>
    </xf>
    <xf numFmtId="0" fontId="6" fillId="0" borderId="0" xfId="562" applyFont="1" applyFill="1" applyBorder="1" applyAlignment="1">
      <alignment horizontal="right"/>
      <protection/>
    </xf>
    <xf numFmtId="3" fontId="79" fillId="8" borderId="25" xfId="562" applyNumberFormat="1" applyFont="1" applyFill="1" applyBorder="1">
      <alignment/>
      <protection/>
    </xf>
    <xf numFmtId="3" fontId="80" fillId="8" borderId="25" xfId="562" applyNumberFormat="1" applyFont="1" applyFill="1" applyBorder="1">
      <alignment/>
      <protection/>
    </xf>
    <xf numFmtId="0" fontId="3" fillId="0" borderId="0" xfId="585" applyFont="1" applyAlignment="1">
      <alignment vertical="center"/>
      <protection/>
    </xf>
    <xf numFmtId="0" fontId="9" fillId="0" borderId="0" xfId="585" applyFont="1" applyFill="1" applyAlignment="1" applyProtection="1">
      <alignment vertical="center"/>
      <protection locked="0"/>
    </xf>
    <xf numFmtId="0" fontId="6" fillId="0" borderId="0" xfId="585" applyFont="1" applyAlignment="1" applyProtection="1">
      <alignment vertical="center"/>
      <protection locked="0"/>
    </xf>
    <xf numFmtId="4" fontId="36" fillId="0" borderId="0" xfId="585" applyNumberFormat="1" applyFont="1" applyBorder="1" applyAlignment="1" applyProtection="1">
      <alignment vertical="center"/>
      <protection locked="0"/>
    </xf>
    <xf numFmtId="14" fontId="6" fillId="0" borderId="0" xfId="585" applyNumberFormat="1" applyFont="1" applyAlignment="1">
      <alignment vertical="center"/>
      <protection/>
    </xf>
    <xf numFmtId="3" fontId="11" fillId="0" borderId="0" xfId="562" applyNumberFormat="1" applyFont="1">
      <alignment/>
      <protection/>
    </xf>
    <xf numFmtId="9" fontId="11" fillId="0" borderId="0" xfId="562" applyNumberFormat="1" applyFont="1">
      <alignment/>
      <protection/>
    </xf>
    <xf numFmtId="0" fontId="2" fillId="0" borderId="30" xfId="562" applyFont="1" applyFill="1" applyBorder="1" applyAlignment="1">
      <alignment vertical="center"/>
      <protection/>
    </xf>
    <xf numFmtId="0" fontId="2" fillId="0" borderId="30" xfId="562" applyFont="1" applyFill="1" applyBorder="1">
      <alignment/>
      <protection/>
    </xf>
    <xf numFmtId="0" fontId="2" fillId="0" borderId="31" xfId="562" applyFont="1" applyFill="1" applyBorder="1" applyAlignment="1">
      <alignment vertical="center"/>
      <protection/>
    </xf>
    <xf numFmtId="0" fontId="2" fillId="0" borderId="32" xfId="562" applyFont="1" applyFill="1" applyBorder="1" applyAlignment="1">
      <alignment vertical="center"/>
      <protection/>
    </xf>
    <xf numFmtId="3" fontId="2" fillId="0" borderId="0" xfId="562" applyNumberFormat="1" applyFont="1" applyFill="1" applyBorder="1">
      <alignment/>
      <protection/>
    </xf>
    <xf numFmtId="0" fontId="2" fillId="0" borderId="30" xfId="562" applyFont="1" applyFill="1" applyBorder="1" applyAlignment="1">
      <alignment/>
      <protection/>
    </xf>
    <xf numFmtId="3" fontId="2" fillId="0" borderId="0" xfId="562" applyNumberFormat="1" applyFont="1" applyFill="1" applyAlignment="1">
      <alignment/>
      <protection/>
    </xf>
    <xf numFmtId="0" fontId="3" fillId="0" borderId="30" xfId="562" applyFont="1" applyFill="1" applyBorder="1" applyAlignment="1">
      <alignment vertical="center"/>
      <protection/>
    </xf>
    <xf numFmtId="0" fontId="12" fillId="0" borderId="30" xfId="562" applyFont="1" applyFill="1" applyBorder="1">
      <alignment/>
      <protection/>
    </xf>
    <xf numFmtId="3" fontId="12" fillId="0" borderId="0" xfId="562" applyNumberFormat="1" applyFont="1" applyFill="1">
      <alignment/>
      <protection/>
    </xf>
    <xf numFmtId="0" fontId="2" fillId="0" borderId="31" xfId="562" applyFont="1" applyFill="1" applyBorder="1">
      <alignment/>
      <protection/>
    </xf>
    <xf numFmtId="0" fontId="2" fillId="0" borderId="32" xfId="562" applyFont="1" applyFill="1" applyBorder="1" applyAlignment="1">
      <alignment/>
      <protection/>
    </xf>
    <xf numFmtId="0" fontId="12" fillId="0" borderId="30" xfId="562" applyFont="1" applyFill="1" applyBorder="1" applyAlignment="1">
      <alignment vertical="center"/>
      <protection/>
    </xf>
    <xf numFmtId="0" fontId="12" fillId="0" borderId="31" xfId="562" applyFont="1" applyFill="1" applyBorder="1">
      <alignment/>
      <protection/>
    </xf>
    <xf numFmtId="3" fontId="3" fillId="0" borderId="25" xfId="562" applyNumberFormat="1" applyFont="1" applyFill="1" applyBorder="1" applyAlignment="1">
      <alignment vertical="center"/>
      <protection/>
    </xf>
    <xf numFmtId="3" fontId="74" fillId="0" borderId="0" xfId="562" applyNumberFormat="1" applyFont="1" applyFill="1" applyBorder="1">
      <alignment/>
      <protection/>
    </xf>
    <xf numFmtId="3" fontId="74" fillId="0" borderId="0" xfId="562" applyNumberFormat="1" applyFont="1" applyFill="1">
      <alignment/>
      <protection/>
    </xf>
    <xf numFmtId="3" fontId="12" fillId="0" borderId="33" xfId="562" applyNumberFormat="1" applyFont="1" applyFill="1" applyBorder="1">
      <alignment/>
      <protection/>
    </xf>
    <xf numFmtId="3" fontId="12" fillId="0" borderId="34" xfId="562" applyNumberFormat="1" applyFont="1" applyFill="1" applyBorder="1">
      <alignment/>
      <protection/>
    </xf>
    <xf numFmtId="3" fontId="12" fillId="0" borderId="34" xfId="562" applyNumberFormat="1" applyFont="1" applyFill="1" applyBorder="1" applyAlignment="1">
      <alignment vertical="center"/>
      <protection/>
    </xf>
    <xf numFmtId="3" fontId="12" fillId="8" borderId="33" xfId="562" applyNumberFormat="1" applyFont="1" applyFill="1" applyBorder="1">
      <alignment/>
      <protection/>
    </xf>
    <xf numFmtId="3" fontId="12" fillId="8" borderId="34" xfId="562" applyNumberFormat="1" applyFont="1" applyFill="1" applyBorder="1">
      <alignment/>
      <protection/>
    </xf>
    <xf numFmtId="3" fontId="12" fillId="0" borderId="35" xfId="562" applyNumberFormat="1" applyFont="1" applyFill="1" applyBorder="1">
      <alignment/>
      <protection/>
    </xf>
    <xf numFmtId="166" fontId="7" fillId="0" borderId="0" xfId="562" applyNumberFormat="1">
      <alignment/>
      <protection/>
    </xf>
    <xf numFmtId="3" fontId="33" fillId="0" borderId="0" xfId="562" applyNumberFormat="1" applyFont="1" applyFill="1" applyAlignment="1">
      <alignment vertical="center"/>
      <protection/>
    </xf>
    <xf numFmtId="3" fontId="3" fillId="0" borderId="0" xfId="562" applyNumberFormat="1" applyFont="1" applyFill="1">
      <alignment/>
      <protection/>
    </xf>
    <xf numFmtId="0" fontId="3" fillId="0" borderId="0" xfId="562" applyFont="1" applyFill="1">
      <alignment/>
      <protection/>
    </xf>
    <xf numFmtId="3" fontId="2" fillId="0" borderId="0" xfId="562" applyNumberFormat="1" applyFont="1" applyFill="1" applyBorder="1" applyAlignment="1">
      <alignment vertical="center"/>
      <protection/>
    </xf>
    <xf numFmtId="49" fontId="11" fillId="0" borderId="0" xfId="625" applyNumberFormat="1" applyFont="1" applyFill="1" applyBorder="1" applyAlignment="1">
      <alignment horizontal="left" vertical="center"/>
      <protection/>
    </xf>
    <xf numFmtId="0" fontId="11" fillId="0" borderId="30" xfId="625" applyFont="1" applyFill="1" applyBorder="1" applyAlignment="1">
      <alignment horizontal="left" vertical="center"/>
      <protection/>
    </xf>
    <xf numFmtId="9" fontId="16" fillId="0" borderId="20" xfId="625" applyNumberFormat="1" applyFont="1" applyFill="1" applyBorder="1" applyAlignment="1" applyProtection="1">
      <alignment vertical="center"/>
      <protection locked="0"/>
    </xf>
    <xf numFmtId="0" fontId="5" fillId="0" borderId="30" xfId="625" applyFont="1" applyFill="1" applyBorder="1" applyAlignment="1">
      <alignment horizontal="left" vertical="center"/>
      <protection/>
    </xf>
    <xf numFmtId="9" fontId="16" fillId="0" borderId="20" xfId="625" applyNumberFormat="1" applyFont="1" applyFill="1" applyBorder="1" applyAlignment="1" applyProtection="1">
      <alignment horizontal="right" vertical="center"/>
      <protection locked="0"/>
    </xf>
    <xf numFmtId="0" fontId="11" fillId="77" borderId="30" xfId="625" applyFont="1" applyFill="1" applyBorder="1" applyAlignment="1">
      <alignment horizontal="left" vertical="center"/>
      <protection/>
    </xf>
    <xf numFmtId="9" fontId="16" fillId="77" borderId="20" xfId="625" applyNumberFormat="1" applyFont="1" applyFill="1" applyBorder="1" applyAlignment="1" applyProtection="1">
      <alignment vertical="center"/>
      <protection locked="0"/>
    </xf>
    <xf numFmtId="49" fontId="11" fillId="0" borderId="30" xfId="625" applyNumberFormat="1" applyFont="1" applyFill="1" applyBorder="1" applyAlignment="1">
      <alignment horizontal="left" vertical="center"/>
      <protection/>
    </xf>
    <xf numFmtId="0" fontId="11" fillId="0" borderId="30" xfId="585" applyFont="1" applyFill="1" applyBorder="1" applyAlignment="1">
      <alignment horizontal="left" vertical="center"/>
      <protection/>
    </xf>
    <xf numFmtId="49" fontId="11" fillId="77" borderId="30" xfId="625" applyNumberFormat="1" applyFont="1" applyFill="1" applyBorder="1" applyAlignment="1">
      <alignment horizontal="left" vertical="center"/>
      <protection/>
    </xf>
    <xf numFmtId="9" fontId="16" fillId="77" borderId="20" xfId="625" applyNumberFormat="1" applyFont="1" applyFill="1" applyBorder="1" applyAlignment="1" applyProtection="1">
      <alignment horizontal="right" vertical="center"/>
      <protection locked="0"/>
    </xf>
    <xf numFmtId="49" fontId="11" fillId="58" borderId="30" xfId="625" applyNumberFormat="1" applyFont="1" applyFill="1" applyBorder="1" applyAlignment="1">
      <alignment horizontal="left" vertical="center"/>
      <protection/>
    </xf>
    <xf numFmtId="9" fontId="16" fillId="58" borderId="20" xfId="585" applyNumberFormat="1" applyFont="1" applyFill="1" applyBorder="1" applyAlignment="1" applyProtection="1">
      <alignment vertical="center"/>
      <protection/>
    </xf>
    <xf numFmtId="0" fontId="11" fillId="78" borderId="30" xfId="585" applyFont="1" applyFill="1" applyBorder="1" applyAlignment="1">
      <alignment horizontal="left" vertical="center"/>
      <protection/>
    </xf>
    <xf numFmtId="9" fontId="14" fillId="78" borderId="20" xfId="625" applyNumberFormat="1" applyFont="1" applyFill="1" applyBorder="1" applyAlignment="1" applyProtection="1">
      <alignment vertical="center"/>
      <protection/>
    </xf>
    <xf numFmtId="9" fontId="16" fillId="58" borderId="20" xfId="585" applyNumberFormat="1" applyFont="1" applyFill="1" applyBorder="1" applyAlignment="1" applyProtection="1">
      <alignment horizontal="right" vertical="center"/>
      <protection/>
    </xf>
    <xf numFmtId="49" fontId="11" fillId="58" borderId="31" xfId="625" applyNumberFormat="1" applyFont="1" applyFill="1" applyBorder="1" applyAlignment="1">
      <alignment horizontal="left" vertical="center"/>
      <protection/>
    </xf>
    <xf numFmtId="0" fontId="5" fillId="58" borderId="21" xfId="625" applyFont="1" applyFill="1" applyBorder="1" applyAlignment="1">
      <alignment horizontal="left" vertical="center"/>
      <protection/>
    </xf>
    <xf numFmtId="3" fontId="16" fillId="58" borderId="21" xfId="585" applyNumberFormat="1" applyFont="1" applyFill="1" applyBorder="1" applyAlignment="1" applyProtection="1">
      <alignment vertical="center"/>
      <protection/>
    </xf>
    <xf numFmtId="9" fontId="16" fillId="58" borderId="22" xfId="585" applyNumberFormat="1" applyFont="1" applyFill="1" applyBorder="1" applyAlignment="1" applyProtection="1">
      <alignment vertical="center"/>
      <protection/>
    </xf>
    <xf numFmtId="0" fontId="13" fillId="0" borderId="30" xfId="585" applyFont="1" applyBorder="1" applyAlignment="1">
      <alignment horizontal="left" vertical="center"/>
      <protection/>
    </xf>
    <xf numFmtId="0" fontId="11" fillId="0" borderId="0" xfId="585" applyFont="1" applyBorder="1" applyAlignment="1">
      <alignment vertical="center"/>
      <protection/>
    </xf>
    <xf numFmtId="0" fontId="14" fillId="79" borderId="36" xfId="625" applyFont="1" applyFill="1" applyBorder="1" applyAlignment="1">
      <alignment horizontal="left" vertical="center"/>
      <protection/>
    </xf>
    <xf numFmtId="3" fontId="16" fillId="0" borderId="30" xfId="625" applyNumberFormat="1" applyFont="1" applyFill="1" applyBorder="1" applyAlignment="1" applyProtection="1">
      <alignment vertical="center"/>
      <protection locked="0"/>
    </xf>
    <xf numFmtId="3" fontId="16" fillId="0" borderId="30" xfId="625" applyNumberFormat="1" applyFont="1" applyFill="1" applyBorder="1" applyAlignment="1" applyProtection="1">
      <alignment vertical="center"/>
      <protection/>
    </xf>
    <xf numFmtId="3" fontId="16" fillId="77" borderId="30" xfId="625" applyNumberFormat="1" applyFont="1" applyFill="1" applyBorder="1" applyAlignment="1" applyProtection="1">
      <alignment vertical="center"/>
      <protection locked="0"/>
    </xf>
    <xf numFmtId="3" fontId="15" fillId="78" borderId="30" xfId="625" applyNumberFormat="1" applyFont="1" applyFill="1" applyBorder="1" applyAlignment="1" applyProtection="1">
      <alignment vertical="center"/>
      <protection/>
    </xf>
    <xf numFmtId="3" fontId="16" fillId="58" borderId="30" xfId="585" applyNumberFormat="1" applyFont="1" applyFill="1" applyBorder="1" applyAlignment="1" applyProtection="1">
      <alignment vertical="center"/>
      <protection/>
    </xf>
    <xf numFmtId="3" fontId="16" fillId="58" borderId="31" xfId="585" applyNumberFormat="1" applyFont="1" applyFill="1" applyBorder="1" applyAlignment="1" applyProtection="1">
      <alignment vertical="center"/>
      <protection/>
    </xf>
    <xf numFmtId="9" fontId="14" fillId="79" borderId="37" xfId="585" applyNumberFormat="1" applyFont="1" applyFill="1" applyBorder="1" applyAlignment="1">
      <alignment vertical="center"/>
      <protection/>
    </xf>
    <xf numFmtId="0" fontId="14" fillId="80" borderId="38" xfId="585" applyFont="1" applyFill="1" applyBorder="1" applyAlignment="1">
      <alignment horizontal="left" vertical="center"/>
      <protection/>
    </xf>
    <xf numFmtId="0" fontId="14" fillId="80" borderId="36" xfId="585" applyFont="1" applyFill="1" applyBorder="1" applyAlignment="1">
      <alignment horizontal="left" vertical="center"/>
      <protection/>
    </xf>
    <xf numFmtId="3" fontId="14" fillId="80" borderId="38" xfId="585" applyNumberFormat="1" applyFont="1" applyFill="1" applyBorder="1" applyAlignment="1">
      <alignment vertical="center"/>
      <protection/>
    </xf>
    <xf numFmtId="9" fontId="14" fillId="80" borderId="37" xfId="585" applyNumberFormat="1" applyFont="1" applyFill="1" applyBorder="1" applyAlignment="1">
      <alignment vertical="center"/>
      <protection/>
    </xf>
    <xf numFmtId="3" fontId="14" fillId="80" borderId="36" xfId="585" applyNumberFormat="1" applyFont="1" applyFill="1" applyBorder="1" applyAlignment="1">
      <alignment vertical="center"/>
      <protection/>
    </xf>
    <xf numFmtId="0" fontId="14" fillId="79" borderId="38" xfId="585" applyFont="1" applyFill="1" applyBorder="1" applyAlignment="1">
      <alignment horizontal="left" vertical="center"/>
      <protection/>
    </xf>
    <xf numFmtId="3" fontId="14" fillId="79" borderId="36" xfId="585" applyNumberFormat="1" applyFont="1" applyFill="1" applyBorder="1" applyAlignment="1">
      <alignment vertical="center"/>
      <protection/>
    </xf>
    <xf numFmtId="0" fontId="11" fillId="12" borderId="38" xfId="585" applyFont="1" applyFill="1" applyBorder="1" applyAlignment="1">
      <alignment horizontal="left" vertical="center"/>
      <protection/>
    </xf>
    <xf numFmtId="0" fontId="14" fillId="80" borderId="36" xfId="625" applyFont="1" applyFill="1" applyBorder="1" applyAlignment="1">
      <alignment horizontal="left" vertical="center"/>
      <protection/>
    </xf>
    <xf numFmtId="3" fontId="14" fillId="79" borderId="38" xfId="625" applyNumberFormat="1" applyFont="1" applyFill="1" applyBorder="1" applyAlignment="1">
      <alignment horizontal="right" vertical="center"/>
      <protection/>
    </xf>
    <xf numFmtId="3" fontId="14" fillId="79" borderId="36" xfId="625" applyNumberFormat="1" applyFont="1" applyFill="1" applyBorder="1" applyAlignment="1">
      <alignment horizontal="right" vertical="center"/>
      <protection/>
    </xf>
    <xf numFmtId="3" fontId="16" fillId="0" borderId="0" xfId="585" applyNumberFormat="1" applyFont="1" applyFill="1" applyBorder="1" applyAlignment="1">
      <alignment vertical="center"/>
      <protection/>
    </xf>
    <xf numFmtId="0" fontId="5" fillId="58" borderId="20" xfId="625" applyFont="1" applyFill="1" applyBorder="1" applyAlignment="1">
      <alignment vertical="center"/>
      <protection/>
    </xf>
    <xf numFmtId="0" fontId="7" fillId="0" borderId="0" xfId="562" applyBorder="1">
      <alignment/>
      <protection/>
    </xf>
    <xf numFmtId="9" fontId="16" fillId="0" borderId="22" xfId="625" applyNumberFormat="1" applyFont="1" applyFill="1" applyBorder="1" applyAlignment="1" applyProtection="1">
      <alignment vertical="center"/>
      <protection locked="0"/>
    </xf>
    <xf numFmtId="3" fontId="16" fillId="0" borderId="21" xfId="625" applyNumberFormat="1" applyFont="1" applyFill="1" applyBorder="1" applyAlignment="1" applyProtection="1">
      <alignment vertical="center"/>
      <protection/>
    </xf>
    <xf numFmtId="0" fontId="9" fillId="0" borderId="0" xfId="585" applyFont="1" applyBorder="1" applyAlignment="1">
      <alignment horizontal="center" vertical="center"/>
      <protection/>
    </xf>
    <xf numFmtId="0" fontId="9" fillId="0" borderId="20" xfId="585" applyFont="1" applyBorder="1" applyAlignment="1">
      <alignment horizontal="center" vertical="center"/>
      <protection/>
    </xf>
    <xf numFmtId="0" fontId="6" fillId="0" borderId="0" xfId="562" applyFont="1" applyFill="1" applyBorder="1">
      <alignment/>
      <protection/>
    </xf>
    <xf numFmtId="0" fontId="4" fillId="58" borderId="0" xfId="585" applyFont="1" applyFill="1" applyBorder="1" applyAlignment="1">
      <alignment horizontal="left" vertical="center"/>
      <protection/>
    </xf>
    <xf numFmtId="3" fontId="15" fillId="58" borderId="0" xfId="625" applyNumberFormat="1" applyFont="1" applyFill="1" applyBorder="1" applyAlignment="1" applyProtection="1">
      <alignment vertical="center"/>
      <protection/>
    </xf>
    <xf numFmtId="0" fontId="4" fillId="58" borderId="0" xfId="625" applyFont="1" applyFill="1" applyBorder="1" applyAlignment="1">
      <alignment horizontal="left" vertical="center"/>
      <protection/>
    </xf>
    <xf numFmtId="0" fontId="11" fillId="0" borderId="32" xfId="625" applyFont="1" applyFill="1" applyBorder="1" applyAlignment="1" applyProtection="1">
      <alignment horizontal="left" vertical="center"/>
      <protection locked="0"/>
    </xf>
    <xf numFmtId="0" fontId="12" fillId="0" borderId="19" xfId="625" applyFont="1" applyFill="1" applyBorder="1" applyAlignment="1" applyProtection="1">
      <alignment horizontal="right" vertical="center"/>
      <protection locked="0"/>
    </xf>
    <xf numFmtId="14" fontId="81" fillId="0" borderId="23" xfId="625" applyNumberFormat="1" applyFont="1" applyFill="1" applyBorder="1" applyAlignment="1" applyProtection="1">
      <alignment horizontal="left" vertical="center"/>
      <protection locked="0"/>
    </xf>
    <xf numFmtId="0" fontId="13" fillId="0" borderId="20" xfId="625" applyFont="1" applyFill="1" applyBorder="1" applyAlignment="1" applyProtection="1">
      <alignment horizontal="left" vertical="center"/>
      <protection locked="0"/>
    </xf>
    <xf numFmtId="0" fontId="4" fillId="58" borderId="30" xfId="585" applyFont="1" applyFill="1" applyBorder="1" applyAlignment="1">
      <alignment horizontal="left" vertical="center"/>
      <protection/>
    </xf>
    <xf numFmtId="0" fontId="14" fillId="58" borderId="20" xfId="625" applyFont="1" applyFill="1" applyBorder="1" applyAlignment="1">
      <alignment vertical="center"/>
      <protection/>
    </xf>
    <xf numFmtId="0" fontId="5" fillId="0" borderId="20" xfId="625" applyFont="1" applyFill="1" applyBorder="1" applyAlignment="1">
      <alignment vertical="center"/>
      <protection/>
    </xf>
    <xf numFmtId="0" fontId="5" fillId="0" borderId="20" xfId="585" applyFont="1" applyFill="1" applyBorder="1" applyAlignment="1">
      <alignment vertical="center"/>
      <protection/>
    </xf>
    <xf numFmtId="0" fontId="4" fillId="58" borderId="30" xfId="625" applyFont="1" applyFill="1" applyBorder="1" applyAlignment="1">
      <alignment horizontal="left" vertical="center"/>
      <protection/>
    </xf>
    <xf numFmtId="0" fontId="11" fillId="0" borderId="20" xfId="625" applyFont="1" applyFill="1" applyBorder="1" applyAlignment="1">
      <alignment vertical="center"/>
      <protection/>
    </xf>
    <xf numFmtId="0" fontId="5" fillId="77" borderId="20" xfId="625" applyFont="1" applyFill="1" applyBorder="1" applyAlignment="1">
      <alignment vertical="center"/>
      <protection/>
    </xf>
    <xf numFmtId="0" fontId="5" fillId="0" borderId="20" xfId="625" applyFont="1" applyFill="1" applyBorder="1" applyAlignment="1">
      <alignment horizontal="left" vertical="center"/>
      <protection/>
    </xf>
    <xf numFmtId="0" fontId="5" fillId="77" borderId="20" xfId="625" applyFont="1" applyFill="1" applyBorder="1" applyAlignment="1">
      <alignment horizontal="left" vertical="center"/>
      <protection/>
    </xf>
    <xf numFmtId="0" fontId="11" fillId="0" borderId="20" xfId="585" applyFont="1" applyFill="1" applyBorder="1" applyAlignment="1">
      <alignment vertical="center"/>
      <protection/>
    </xf>
    <xf numFmtId="0" fontId="5" fillId="58" borderId="20" xfId="585" applyFont="1" applyFill="1" applyBorder="1" applyAlignment="1">
      <alignment vertical="center"/>
      <protection/>
    </xf>
    <xf numFmtId="0" fontId="5" fillId="58" borderId="22" xfId="585" applyFont="1" applyFill="1" applyBorder="1" applyAlignment="1">
      <alignment vertical="center"/>
      <protection/>
    </xf>
    <xf numFmtId="3" fontId="15" fillId="58" borderId="30" xfId="625" applyNumberFormat="1" applyFont="1" applyFill="1" applyBorder="1" applyAlignment="1" applyProtection="1">
      <alignment vertical="center"/>
      <protection/>
    </xf>
    <xf numFmtId="9" fontId="15" fillId="58" borderId="20" xfId="625" applyNumberFormat="1" applyFont="1" applyFill="1" applyBorder="1" applyAlignment="1" applyProtection="1">
      <alignment vertical="center"/>
      <protection/>
    </xf>
    <xf numFmtId="9" fontId="14" fillId="58" borderId="20" xfId="625" applyNumberFormat="1" applyFont="1" applyFill="1" applyBorder="1" applyAlignment="1">
      <alignment vertical="center"/>
      <protection/>
    </xf>
    <xf numFmtId="3" fontId="11" fillId="0" borderId="30" xfId="585" applyNumberFormat="1" applyFont="1" applyFill="1" applyBorder="1" applyAlignment="1">
      <alignment vertical="center"/>
      <protection/>
    </xf>
    <xf numFmtId="9" fontId="11" fillId="0" borderId="20" xfId="625" applyNumberFormat="1" applyFont="1" applyFill="1" applyBorder="1" applyAlignment="1" applyProtection="1">
      <alignment vertical="center"/>
      <protection/>
    </xf>
    <xf numFmtId="0" fontId="9" fillId="0" borderId="32" xfId="585" applyFont="1" applyBorder="1" applyAlignment="1">
      <alignment horizontal="center" vertical="center"/>
      <protection/>
    </xf>
    <xf numFmtId="0" fontId="9" fillId="0" borderId="30" xfId="585" applyFont="1" applyBorder="1" applyAlignment="1">
      <alignment horizontal="center" vertical="center"/>
      <protection/>
    </xf>
    <xf numFmtId="3" fontId="16" fillId="11" borderId="30" xfId="625" applyNumberFormat="1" applyFont="1" applyFill="1" applyBorder="1" applyAlignment="1" applyProtection="1">
      <alignment vertical="center"/>
      <protection locked="0"/>
    </xf>
    <xf numFmtId="3" fontId="16" fillId="0" borderId="30" xfId="585" applyNumberFormat="1" applyFont="1" applyFill="1" applyBorder="1" applyAlignment="1">
      <alignment vertical="center"/>
      <protection/>
    </xf>
    <xf numFmtId="3" fontId="14" fillId="78" borderId="30" xfId="625" applyNumberFormat="1" applyFont="1" applyFill="1" applyBorder="1" applyAlignment="1" applyProtection="1">
      <alignment vertical="center"/>
      <protection/>
    </xf>
    <xf numFmtId="0" fontId="14" fillId="79" borderId="32" xfId="625" applyFont="1" applyFill="1" applyBorder="1" applyAlignment="1">
      <alignment horizontal="left" vertical="center"/>
      <protection/>
    </xf>
    <xf numFmtId="0" fontId="14" fillId="79" borderId="19" xfId="625" applyFont="1" applyFill="1" applyBorder="1" applyAlignment="1">
      <alignment horizontal="left" vertical="center"/>
      <protection/>
    </xf>
    <xf numFmtId="0" fontId="14" fillId="79" borderId="23" xfId="625" applyFont="1" applyFill="1" applyBorder="1" applyAlignment="1">
      <alignment vertical="center"/>
      <protection/>
    </xf>
    <xf numFmtId="3" fontId="15" fillId="79" borderId="32" xfId="625" applyNumberFormat="1" applyFont="1" applyFill="1" applyBorder="1" applyAlignment="1" applyProtection="1">
      <alignment vertical="center"/>
      <protection/>
    </xf>
    <xf numFmtId="3" fontId="15" fillId="79" borderId="19" xfId="625" applyNumberFormat="1" applyFont="1" applyFill="1" applyBorder="1" applyAlignment="1" applyProtection="1">
      <alignment vertical="center"/>
      <protection/>
    </xf>
    <xf numFmtId="9" fontId="15" fillId="79" borderId="23" xfId="625" applyNumberFormat="1" applyFont="1" applyFill="1" applyBorder="1" applyAlignment="1" applyProtection="1">
      <alignment vertical="center"/>
      <protection/>
    </xf>
    <xf numFmtId="0" fontId="11" fillId="0" borderId="31" xfId="625" applyFont="1" applyFill="1" applyBorder="1" applyAlignment="1">
      <alignment horizontal="left" vertical="center"/>
      <protection/>
    </xf>
    <xf numFmtId="0" fontId="11" fillId="0" borderId="21" xfId="625" applyFont="1" applyFill="1" applyBorder="1" applyAlignment="1">
      <alignment horizontal="left" vertical="center"/>
      <protection/>
    </xf>
    <xf numFmtId="0" fontId="5" fillId="0" borderId="22" xfId="625" applyFont="1" applyFill="1" applyBorder="1" applyAlignment="1">
      <alignment vertical="center"/>
      <protection/>
    </xf>
    <xf numFmtId="3" fontId="16" fillId="0" borderId="31" xfId="625" applyNumberFormat="1" applyFont="1" applyFill="1" applyBorder="1" applyAlignment="1" applyProtection="1">
      <alignment vertical="center"/>
      <protection/>
    </xf>
    <xf numFmtId="9" fontId="16" fillId="0" borderId="22" xfId="625" applyNumberFormat="1" applyFont="1" applyFill="1" applyBorder="1" applyAlignment="1" applyProtection="1">
      <alignment vertical="center"/>
      <protection/>
    </xf>
    <xf numFmtId="3" fontId="16" fillId="0" borderId="31" xfId="625" applyNumberFormat="1" applyFont="1" applyFill="1" applyBorder="1" applyAlignment="1" applyProtection="1">
      <alignment vertical="center"/>
      <protection locked="0"/>
    </xf>
    <xf numFmtId="9" fontId="14" fillId="79" borderId="23" xfId="585" applyNumberFormat="1" applyFont="1" applyFill="1" applyBorder="1" applyAlignment="1">
      <alignment vertical="center"/>
      <protection/>
    </xf>
    <xf numFmtId="3" fontId="16" fillId="0" borderId="21" xfId="625" applyNumberFormat="1" applyFont="1" applyFill="1" applyBorder="1" applyAlignment="1" applyProtection="1">
      <alignment vertical="center"/>
      <protection locked="0"/>
    </xf>
    <xf numFmtId="3" fontId="11" fillId="0" borderId="21" xfId="585" applyNumberFormat="1" applyFont="1" applyFill="1" applyBorder="1" applyAlignment="1">
      <alignment vertical="center"/>
      <protection/>
    </xf>
    <xf numFmtId="0" fontId="11" fillId="80" borderId="37" xfId="585" applyFont="1" applyFill="1" applyBorder="1" applyAlignment="1">
      <alignment vertical="center"/>
      <protection/>
    </xf>
    <xf numFmtId="0" fontId="14" fillId="79" borderId="32" xfId="585" applyFont="1" applyFill="1" applyBorder="1" applyAlignment="1">
      <alignment horizontal="left" vertical="center"/>
      <protection/>
    </xf>
    <xf numFmtId="0" fontId="14" fillId="79" borderId="19" xfId="585" applyFont="1" applyFill="1" applyBorder="1" applyAlignment="1">
      <alignment horizontal="left" vertical="center"/>
      <protection/>
    </xf>
    <xf numFmtId="0" fontId="11" fillId="79" borderId="23" xfId="585" applyFont="1" applyFill="1" applyBorder="1" applyAlignment="1">
      <alignment vertical="center"/>
      <protection/>
    </xf>
    <xf numFmtId="3" fontId="14" fillId="79" borderId="32" xfId="585" applyNumberFormat="1" applyFont="1" applyFill="1" applyBorder="1" applyAlignment="1">
      <alignment vertical="center"/>
      <protection/>
    </xf>
    <xf numFmtId="3" fontId="14" fillId="79" borderId="19" xfId="585" applyNumberFormat="1" applyFont="1" applyFill="1" applyBorder="1" applyAlignment="1">
      <alignment vertical="center"/>
      <protection/>
    </xf>
    <xf numFmtId="0" fontId="11" fillId="80" borderId="37" xfId="625" applyFont="1" applyFill="1" applyBorder="1" applyAlignment="1">
      <alignment vertical="center"/>
      <protection/>
    </xf>
    <xf numFmtId="0" fontId="11" fillId="79" borderId="32" xfId="585" applyFont="1" applyFill="1" applyBorder="1" applyAlignment="1">
      <alignment horizontal="left" vertical="center"/>
      <protection/>
    </xf>
    <xf numFmtId="49" fontId="11" fillId="77" borderId="31" xfId="625" applyNumberFormat="1" applyFont="1" applyFill="1" applyBorder="1" applyAlignment="1">
      <alignment horizontal="left" vertical="center"/>
      <protection/>
    </xf>
    <xf numFmtId="49" fontId="11" fillId="77" borderId="21" xfId="625" applyNumberFormat="1" applyFont="1" applyFill="1" applyBorder="1" applyAlignment="1">
      <alignment horizontal="left" vertical="center"/>
      <protection/>
    </xf>
    <xf numFmtId="0" fontId="5" fillId="77" borderId="22" xfId="625" applyFont="1" applyFill="1" applyBorder="1" applyAlignment="1">
      <alignment horizontal="left" vertical="center"/>
      <protection/>
    </xf>
    <xf numFmtId="3" fontId="16" fillId="77" borderId="31" xfId="625" applyNumberFormat="1" applyFont="1" applyFill="1" applyBorder="1" applyAlignment="1" applyProtection="1">
      <alignment vertical="center"/>
      <protection locked="0"/>
    </xf>
    <xf numFmtId="3" fontId="16" fillId="77" borderId="21" xfId="625" applyNumberFormat="1" applyFont="1" applyFill="1" applyBorder="1" applyAlignment="1" applyProtection="1">
      <alignment vertical="center"/>
      <protection locked="0"/>
    </xf>
    <xf numFmtId="9" fontId="16" fillId="77" borderId="22" xfId="625" applyNumberFormat="1" applyFont="1" applyFill="1" applyBorder="1" applyAlignment="1" applyProtection="1">
      <alignment vertical="center"/>
      <protection locked="0"/>
    </xf>
    <xf numFmtId="0" fontId="11" fillId="79" borderId="37" xfId="625" applyFont="1" applyFill="1" applyBorder="1" applyAlignment="1">
      <alignment vertical="center"/>
      <protection/>
    </xf>
    <xf numFmtId="0" fontId="3" fillId="0" borderId="39" xfId="562" applyFont="1" applyBorder="1" applyAlignment="1">
      <alignment vertical="center" wrapText="1"/>
      <protection/>
    </xf>
    <xf numFmtId="0" fontId="5" fillId="0" borderId="40" xfId="562" applyFont="1" applyBorder="1" applyAlignment="1">
      <alignment horizontal="center" vertical="center" wrapText="1"/>
      <protection/>
    </xf>
    <xf numFmtId="3" fontId="5" fillId="0" borderId="40" xfId="562" applyNumberFormat="1" applyFont="1" applyBorder="1" applyAlignment="1">
      <alignment horizontal="center" vertical="center" wrapText="1"/>
      <protection/>
    </xf>
    <xf numFmtId="3" fontId="3" fillId="0" borderId="40" xfId="562" applyNumberFormat="1" applyFont="1" applyFill="1" applyBorder="1" applyAlignment="1">
      <alignment horizontal="right" vertical="center"/>
      <protection/>
    </xf>
    <xf numFmtId="1" fontId="3" fillId="0" borderId="40" xfId="562" applyNumberFormat="1" applyFont="1" applyFill="1" applyBorder="1" applyAlignment="1">
      <alignment vertical="center"/>
      <protection/>
    </xf>
    <xf numFmtId="0" fontId="2" fillId="0" borderId="26" xfId="562" applyFont="1" applyBorder="1" applyAlignment="1">
      <alignment wrapText="1"/>
      <protection/>
    </xf>
    <xf numFmtId="0" fontId="5" fillId="0" borderId="27" xfId="562" applyFont="1" applyBorder="1" applyAlignment="1">
      <alignment horizontal="center" wrapText="1"/>
      <protection/>
    </xf>
    <xf numFmtId="3" fontId="2" fillId="0" borderId="27" xfId="562" applyNumberFormat="1" applyFont="1" applyFill="1" applyBorder="1">
      <alignment/>
      <protection/>
    </xf>
    <xf numFmtId="1" fontId="2" fillId="0" borderId="27" xfId="562" applyNumberFormat="1" applyFont="1" applyFill="1" applyBorder="1" applyAlignment="1">
      <alignment vertical="center"/>
      <protection/>
    </xf>
    <xf numFmtId="3" fontId="5" fillId="0" borderId="27" xfId="562" applyNumberFormat="1" applyFont="1" applyBorder="1" applyAlignment="1">
      <alignment horizontal="center" wrapText="1"/>
      <protection/>
    </xf>
    <xf numFmtId="1" fontId="2" fillId="0" borderId="41" xfId="562" applyNumberFormat="1" applyFont="1" applyFill="1" applyBorder="1" applyAlignment="1">
      <alignment vertical="center"/>
      <protection/>
    </xf>
    <xf numFmtId="0" fontId="2" fillId="0" borderId="42" xfId="562" applyFont="1" applyFill="1" applyBorder="1" applyAlignment="1">
      <alignment wrapText="1"/>
      <protection/>
    </xf>
    <xf numFmtId="0" fontId="5" fillId="0" borderId="41" xfId="562" applyFont="1" applyFill="1" applyBorder="1" applyAlignment="1">
      <alignment horizontal="center" wrapText="1"/>
      <protection/>
    </xf>
    <xf numFmtId="1" fontId="2" fillId="0" borderId="41" xfId="562" applyNumberFormat="1" applyFont="1" applyFill="1" applyBorder="1" applyAlignment="1">
      <alignment/>
      <protection/>
    </xf>
    <xf numFmtId="0" fontId="2" fillId="0" borderId="43" xfId="562" applyFont="1" applyFill="1" applyBorder="1" applyAlignment="1">
      <alignment vertical="center" wrapText="1"/>
      <protection/>
    </xf>
    <xf numFmtId="0" fontId="5" fillId="0" borderId="44" xfId="562" applyFont="1" applyFill="1" applyBorder="1" applyAlignment="1">
      <alignment horizontal="center" vertical="center" wrapText="1"/>
      <protection/>
    </xf>
    <xf numFmtId="3" fontId="2" fillId="0" borderId="44" xfId="562" applyNumberFormat="1" applyFont="1" applyFill="1" applyBorder="1" applyAlignment="1">
      <alignment vertical="center"/>
      <protection/>
    </xf>
    <xf numFmtId="1" fontId="2" fillId="0" borderId="44" xfId="562" applyNumberFormat="1" applyFont="1" applyFill="1" applyBorder="1" applyAlignment="1">
      <alignment vertical="center"/>
      <protection/>
    </xf>
    <xf numFmtId="0" fontId="3" fillId="0" borderId="39" xfId="562" applyFont="1" applyFill="1" applyBorder="1" applyAlignment="1">
      <alignment vertical="center" wrapText="1"/>
      <protection/>
    </xf>
    <xf numFmtId="0" fontId="5" fillId="0" borderId="40" xfId="562" applyFont="1" applyFill="1" applyBorder="1" applyAlignment="1">
      <alignment horizontal="center" vertical="center" wrapText="1"/>
      <protection/>
    </xf>
    <xf numFmtId="3" fontId="3" fillId="0" borderId="40" xfId="562" applyNumberFormat="1" applyFont="1" applyFill="1" applyBorder="1" applyAlignment="1">
      <alignment vertical="center"/>
      <protection/>
    </xf>
    <xf numFmtId="0" fontId="39" fillId="0" borderId="24" xfId="562" applyFont="1" applyFill="1" applyBorder="1" applyAlignment="1">
      <alignment horizontal="left" wrapText="1"/>
      <protection/>
    </xf>
    <xf numFmtId="0" fontId="5" fillId="0" borderId="25" xfId="562" applyFont="1" applyFill="1" applyBorder="1" applyAlignment="1">
      <alignment horizontal="center" wrapText="1"/>
      <protection/>
    </xf>
    <xf numFmtId="3" fontId="39" fillId="0" borderId="25" xfId="562" applyNumberFormat="1" applyFont="1" applyFill="1" applyBorder="1">
      <alignment/>
      <protection/>
    </xf>
    <xf numFmtId="1" fontId="3" fillId="0" borderId="25" xfId="562" applyNumberFormat="1" applyFont="1" applyFill="1" applyBorder="1" applyAlignment="1">
      <alignment vertical="center"/>
      <protection/>
    </xf>
    <xf numFmtId="0" fontId="2" fillId="0" borderId="26" xfId="562" applyFont="1" applyFill="1" applyBorder="1" applyAlignment="1">
      <alignment wrapText="1"/>
      <protection/>
    </xf>
    <xf numFmtId="0" fontId="5" fillId="0" borderId="27" xfId="562" applyFont="1" applyFill="1" applyBorder="1" applyAlignment="1">
      <alignment horizontal="center" wrapText="1"/>
      <protection/>
    </xf>
    <xf numFmtId="3" fontId="2" fillId="0" borderId="34" xfId="562" applyNumberFormat="1" applyFont="1" applyFill="1" applyBorder="1">
      <alignment/>
      <protection/>
    </xf>
    <xf numFmtId="3" fontId="2" fillId="0" borderId="41" xfId="562" applyNumberFormat="1" applyFont="1" applyFill="1" applyBorder="1">
      <alignment/>
      <protection/>
    </xf>
    <xf numFmtId="3" fontId="2" fillId="0" borderId="45" xfId="562" applyNumberFormat="1" applyFont="1" applyFill="1" applyBorder="1">
      <alignment/>
      <protection/>
    </xf>
    <xf numFmtId="0" fontId="2" fillId="0" borderId="46" xfId="562" applyFont="1" applyFill="1" applyBorder="1" applyAlignment="1">
      <alignment horizontal="left" wrapText="1"/>
      <protection/>
    </xf>
    <xf numFmtId="0" fontId="40" fillId="0" borderId="47" xfId="562" applyFont="1" applyFill="1" applyBorder="1" applyAlignment="1">
      <alignment horizontal="center" wrapText="1"/>
      <protection/>
    </xf>
    <xf numFmtId="3" fontId="39" fillId="0" borderId="47" xfId="562" applyNumberFormat="1" applyFont="1" applyFill="1" applyBorder="1">
      <alignment/>
      <protection/>
    </xf>
    <xf numFmtId="1" fontId="3" fillId="0" borderId="47" xfId="562" applyNumberFormat="1" applyFont="1" applyFill="1" applyBorder="1" applyAlignment="1">
      <alignment vertical="center"/>
      <protection/>
    </xf>
    <xf numFmtId="0" fontId="2" fillId="0" borderId="0" xfId="562" applyFont="1" applyFill="1" applyBorder="1" applyAlignment="1">
      <alignment horizontal="right"/>
      <protection/>
    </xf>
    <xf numFmtId="0" fontId="2" fillId="0" borderId="48" xfId="562" applyFont="1" applyFill="1" applyBorder="1" applyAlignment="1">
      <alignment/>
      <protection/>
    </xf>
    <xf numFmtId="0" fontId="2" fillId="0" borderId="0" xfId="562" applyFont="1" applyFill="1" applyBorder="1" applyAlignment="1">
      <alignment horizontal="left"/>
      <protection/>
    </xf>
    <xf numFmtId="0" fontId="2" fillId="0" borderId="24" xfId="562" applyFont="1" applyFill="1" applyBorder="1" applyAlignment="1">
      <alignment wrapText="1"/>
      <protection/>
    </xf>
    <xf numFmtId="3" fontId="2" fillId="0" borderId="25" xfId="562" applyNumberFormat="1" applyFont="1" applyFill="1" applyBorder="1">
      <alignment/>
      <protection/>
    </xf>
    <xf numFmtId="3" fontId="2" fillId="0" borderId="33" xfId="562" applyNumberFormat="1" applyFont="1" applyFill="1" applyBorder="1">
      <alignment/>
      <protection/>
    </xf>
    <xf numFmtId="1" fontId="2" fillId="0" borderId="25" xfId="562" applyNumberFormat="1" applyFont="1" applyFill="1" applyBorder="1" applyAlignment="1">
      <alignment vertical="center"/>
      <protection/>
    </xf>
    <xf numFmtId="3" fontId="2" fillId="0" borderId="49" xfId="562" applyNumberFormat="1" applyFont="1" applyFill="1" applyBorder="1" applyAlignment="1">
      <alignment vertical="center"/>
      <protection/>
    </xf>
    <xf numFmtId="49" fontId="3" fillId="0" borderId="39" xfId="562" applyNumberFormat="1" applyFont="1" applyFill="1" applyBorder="1" applyAlignment="1">
      <alignment vertical="center" wrapText="1"/>
      <protection/>
    </xf>
    <xf numFmtId="49" fontId="5" fillId="0" borderId="40" xfId="562" applyNumberFormat="1" applyFont="1" applyFill="1" applyBorder="1" applyAlignment="1">
      <alignment horizontal="center" vertical="center" wrapText="1"/>
      <protection/>
    </xf>
    <xf numFmtId="49" fontId="39" fillId="0" borderId="24" xfId="562" applyNumberFormat="1" applyFont="1" applyFill="1" applyBorder="1" applyAlignment="1">
      <alignment vertical="center" wrapText="1"/>
      <protection/>
    </xf>
    <xf numFmtId="49" fontId="5" fillId="0" borderId="25" xfId="562" applyNumberFormat="1" applyFont="1" applyFill="1" applyBorder="1" applyAlignment="1">
      <alignment horizontal="center" vertical="center" wrapText="1"/>
      <protection/>
    </xf>
    <xf numFmtId="49" fontId="2" fillId="0" borderId="24" xfId="562" applyNumberFormat="1" applyFont="1" applyFill="1" applyBorder="1" applyAlignment="1">
      <alignment horizontal="left" wrapText="1"/>
      <protection/>
    </xf>
    <xf numFmtId="49" fontId="5" fillId="0" borderId="25" xfId="562" applyNumberFormat="1" applyFont="1" applyFill="1" applyBorder="1" applyAlignment="1">
      <alignment horizontal="center" wrapText="1"/>
      <protection/>
    </xf>
    <xf numFmtId="3" fontId="41" fillId="0" borderId="33" xfId="562" applyNumberFormat="1" applyFont="1" applyFill="1" applyBorder="1">
      <alignment/>
      <protection/>
    </xf>
    <xf numFmtId="1" fontId="2" fillId="0" borderId="25" xfId="562" applyNumberFormat="1" applyFont="1" applyFill="1" applyBorder="1" applyAlignment="1">
      <alignment/>
      <protection/>
    </xf>
    <xf numFmtId="49" fontId="3" fillId="0" borderId="24" xfId="562" applyNumberFormat="1" applyFont="1" applyFill="1" applyBorder="1" applyAlignment="1">
      <alignment horizontal="left" wrapText="1"/>
      <protection/>
    </xf>
    <xf numFmtId="3" fontId="39" fillId="81" borderId="47" xfId="562" applyNumberFormat="1" applyFont="1" applyFill="1" applyBorder="1">
      <alignment/>
      <protection/>
    </xf>
    <xf numFmtId="3" fontId="39" fillId="81" borderId="25" xfId="562" applyNumberFormat="1" applyFont="1" applyFill="1" applyBorder="1">
      <alignment/>
      <protection/>
    </xf>
    <xf numFmtId="49" fontId="3" fillId="0" borderId="26" xfId="562" applyNumberFormat="1" applyFont="1" applyFill="1" applyBorder="1" applyAlignment="1">
      <alignment horizontal="right" wrapText="1"/>
      <protection/>
    </xf>
    <xf numFmtId="49" fontId="5" fillId="0" borderId="27" xfId="562" applyNumberFormat="1" applyFont="1" applyFill="1" applyBorder="1" applyAlignment="1">
      <alignment horizontal="center" wrapText="1"/>
      <protection/>
    </xf>
    <xf numFmtId="3" fontId="3" fillId="0" borderId="27" xfId="562" applyNumberFormat="1" applyFont="1" applyFill="1" applyBorder="1">
      <alignment/>
      <protection/>
    </xf>
    <xf numFmtId="49" fontId="2" fillId="0" borderId="42" xfId="562" applyNumberFormat="1" applyFont="1" applyFill="1" applyBorder="1" applyAlignment="1">
      <alignment wrapText="1"/>
      <protection/>
    </xf>
    <xf numFmtId="49" fontId="5" fillId="0" borderId="41" xfId="562" applyNumberFormat="1" applyFont="1" applyFill="1" applyBorder="1" applyAlignment="1">
      <alignment horizontal="center" wrapText="1"/>
      <protection/>
    </xf>
    <xf numFmtId="1" fontId="41" fillId="0" borderId="41" xfId="562" applyNumberFormat="1" applyFont="1" applyFill="1" applyBorder="1" applyAlignment="1">
      <alignment vertical="center"/>
      <protection/>
    </xf>
    <xf numFmtId="49" fontId="2" fillId="8" borderId="42" xfId="562" applyNumberFormat="1" applyFont="1" applyFill="1" applyBorder="1" applyAlignment="1">
      <alignment wrapText="1"/>
      <protection/>
    </xf>
    <xf numFmtId="49" fontId="5" fillId="8" borderId="41" xfId="562" applyNumberFormat="1" applyFont="1" applyFill="1" applyBorder="1" applyAlignment="1">
      <alignment horizontal="center" wrapText="1"/>
      <protection/>
    </xf>
    <xf numFmtId="3" fontId="2" fillId="8" borderId="41" xfId="562" applyNumberFormat="1" applyFont="1" applyFill="1" applyBorder="1">
      <alignment/>
      <protection/>
    </xf>
    <xf numFmtId="3" fontId="2" fillId="8" borderId="45" xfId="562" applyNumberFormat="1" applyFont="1" applyFill="1" applyBorder="1">
      <alignment/>
      <protection/>
    </xf>
    <xf numFmtId="1" fontId="41" fillId="8" borderId="41" xfId="562" applyNumberFormat="1" applyFont="1" applyFill="1" applyBorder="1" applyAlignment="1">
      <alignment vertical="center"/>
      <protection/>
    </xf>
    <xf numFmtId="1" fontId="2" fillId="8" borderId="41" xfId="562" applyNumberFormat="1" applyFont="1" applyFill="1" applyBorder="1" applyAlignment="1">
      <alignment vertical="center"/>
      <protection/>
    </xf>
    <xf numFmtId="1" fontId="39" fillId="0" borderId="41" xfId="562" applyNumberFormat="1" applyFont="1" applyFill="1" applyBorder="1" applyAlignment="1">
      <alignment vertical="center"/>
      <protection/>
    </xf>
    <xf numFmtId="49" fontId="2" fillId="0" borderId="42" xfId="562" applyNumberFormat="1" applyFont="1" applyFill="1" applyBorder="1" applyAlignment="1">
      <alignment horizontal="left" wrapText="1"/>
      <protection/>
    </xf>
    <xf numFmtId="49" fontId="3" fillId="0" borderId="42" xfId="562" applyNumberFormat="1" applyFont="1" applyFill="1" applyBorder="1" applyAlignment="1">
      <alignment horizontal="left" wrapText="1"/>
      <protection/>
    </xf>
    <xf numFmtId="3" fontId="3" fillId="0" borderId="41" xfId="562" applyNumberFormat="1" applyFont="1" applyFill="1" applyBorder="1">
      <alignment/>
      <protection/>
    </xf>
    <xf numFmtId="3" fontId="3" fillId="0" borderId="45" xfId="562" applyNumberFormat="1" applyFont="1" applyFill="1" applyBorder="1">
      <alignment/>
      <protection/>
    </xf>
    <xf numFmtId="1" fontId="3" fillId="0" borderId="41" xfId="562" applyNumberFormat="1" applyFont="1" applyFill="1" applyBorder="1" applyAlignment="1">
      <alignment vertical="center"/>
      <protection/>
    </xf>
    <xf numFmtId="49" fontId="5" fillId="0" borderId="47" xfId="562" applyNumberFormat="1" applyFont="1" applyFill="1" applyBorder="1" applyAlignment="1">
      <alignment horizontal="center" wrapText="1"/>
      <protection/>
    </xf>
    <xf numFmtId="49" fontId="2" fillId="8" borderId="42" xfId="562" applyNumberFormat="1" applyFont="1" applyFill="1" applyBorder="1" applyAlignment="1">
      <alignment horizontal="left" wrapText="1"/>
      <protection/>
    </xf>
    <xf numFmtId="49" fontId="5" fillId="8" borderId="47" xfId="562" applyNumberFormat="1" applyFont="1" applyFill="1" applyBorder="1" applyAlignment="1">
      <alignment horizontal="center" wrapText="1"/>
      <protection/>
    </xf>
    <xf numFmtId="3" fontId="2" fillId="82" borderId="45" xfId="562" applyNumberFormat="1" applyFont="1" applyFill="1" applyBorder="1">
      <alignment/>
      <protection/>
    </xf>
    <xf numFmtId="0" fontId="2" fillId="0" borderId="42" xfId="562" applyFont="1" applyFill="1" applyBorder="1">
      <alignment/>
      <protection/>
    </xf>
    <xf numFmtId="49" fontId="3" fillId="0" borderId="42" xfId="562" applyNumberFormat="1" applyFont="1" applyFill="1" applyBorder="1" applyAlignment="1">
      <alignment wrapText="1"/>
      <protection/>
    </xf>
    <xf numFmtId="49" fontId="3" fillId="8" borderId="46" xfId="562" applyNumberFormat="1" applyFont="1" applyFill="1" applyBorder="1" applyAlignment="1">
      <alignment wrapText="1"/>
      <protection/>
    </xf>
    <xf numFmtId="3" fontId="3" fillId="8" borderId="47" xfId="562" applyNumberFormat="1" applyFont="1" applyFill="1" applyBorder="1">
      <alignment/>
      <protection/>
    </xf>
    <xf numFmtId="3" fontId="3" fillId="8" borderId="50" xfId="562" applyNumberFormat="1" applyFont="1" applyFill="1" applyBorder="1">
      <alignment/>
      <protection/>
    </xf>
    <xf numFmtId="49" fontId="3" fillId="0" borderId="46" xfId="562" applyNumberFormat="1" applyFont="1" applyFill="1" applyBorder="1" applyAlignment="1">
      <alignment wrapText="1"/>
      <protection/>
    </xf>
    <xf numFmtId="3" fontId="3" fillId="0" borderId="47" xfId="562" applyNumberFormat="1" applyFont="1" applyFill="1" applyBorder="1">
      <alignment/>
      <protection/>
    </xf>
    <xf numFmtId="3" fontId="3" fillId="0" borderId="50" xfId="562" applyNumberFormat="1" applyFont="1" applyFill="1" applyBorder="1">
      <alignment/>
      <protection/>
    </xf>
    <xf numFmtId="49" fontId="39" fillId="0" borderId="46" xfId="562" applyNumberFormat="1" applyFont="1" applyFill="1" applyBorder="1" applyAlignment="1">
      <alignment wrapText="1"/>
      <protection/>
    </xf>
    <xf numFmtId="49" fontId="2" fillId="0" borderId="46" xfId="562" applyNumberFormat="1" applyFont="1" applyFill="1" applyBorder="1" applyAlignment="1">
      <alignment wrapText="1"/>
      <protection/>
    </xf>
    <xf numFmtId="3" fontId="39" fillId="0" borderId="47" xfId="562" applyNumberFormat="1" applyFont="1" applyFill="1" applyBorder="1" applyAlignment="1">
      <alignment/>
      <protection/>
    </xf>
    <xf numFmtId="3" fontId="41" fillId="0" borderId="47" xfId="562" applyNumberFormat="1" applyFont="1" applyFill="1" applyBorder="1" applyAlignment="1">
      <alignment/>
      <protection/>
    </xf>
    <xf numFmtId="3" fontId="41" fillId="0" borderId="50" xfId="562" applyNumberFormat="1" applyFont="1" applyFill="1" applyBorder="1" applyAlignment="1">
      <alignment/>
      <protection/>
    </xf>
    <xf numFmtId="3" fontId="2" fillId="0" borderId="47" xfId="562" applyNumberFormat="1" applyFont="1" applyFill="1" applyBorder="1" applyAlignment="1">
      <alignment/>
      <protection/>
    </xf>
    <xf numFmtId="0" fontId="2" fillId="0" borderId="46" xfId="584" applyFont="1" applyBorder="1" applyAlignment="1">
      <alignment wrapText="1"/>
      <protection/>
    </xf>
    <xf numFmtId="49" fontId="40" fillId="0" borderId="47" xfId="562" applyNumberFormat="1" applyFont="1" applyFill="1" applyBorder="1" applyAlignment="1">
      <alignment horizontal="center" wrapText="1"/>
      <protection/>
    </xf>
    <xf numFmtId="1" fontId="2" fillId="0" borderId="47" xfId="562" applyNumberFormat="1" applyFont="1" applyFill="1" applyBorder="1" applyAlignment="1">
      <alignment vertical="center"/>
      <protection/>
    </xf>
    <xf numFmtId="49" fontId="2" fillId="0" borderId="26" xfId="562" applyNumberFormat="1" applyFont="1" applyFill="1" applyBorder="1" applyAlignment="1">
      <alignment wrapText="1"/>
      <protection/>
    </xf>
    <xf numFmtId="3" fontId="2" fillId="0" borderId="27" xfId="562" applyNumberFormat="1" applyFont="1" applyFill="1" applyBorder="1" applyAlignment="1">
      <alignment/>
      <protection/>
    </xf>
    <xf numFmtId="3" fontId="2" fillId="0" borderId="34" xfId="562" applyNumberFormat="1" applyFont="1" applyFill="1" applyBorder="1" applyAlignment="1">
      <alignment/>
      <protection/>
    </xf>
    <xf numFmtId="1" fontId="2" fillId="0" borderId="27" xfId="562" applyNumberFormat="1" applyFont="1" applyFill="1" applyBorder="1" applyAlignment="1">
      <alignment/>
      <protection/>
    </xf>
    <xf numFmtId="3" fontId="2" fillId="0" borderId="41" xfId="562" applyNumberFormat="1" applyFont="1" applyFill="1" applyBorder="1" applyAlignment="1">
      <alignment/>
      <protection/>
    </xf>
    <xf numFmtId="3" fontId="2" fillId="0" borderId="45" xfId="562" applyNumberFormat="1" applyFont="1" applyFill="1" applyBorder="1" applyAlignment="1">
      <alignment/>
      <protection/>
    </xf>
    <xf numFmtId="3" fontId="2" fillId="0" borderId="47" xfId="562" applyNumberFormat="1" applyFont="1" applyFill="1" applyBorder="1">
      <alignment/>
      <protection/>
    </xf>
    <xf numFmtId="3" fontId="2" fillId="0" borderId="50" xfId="562" applyNumberFormat="1" applyFont="1" applyFill="1" applyBorder="1">
      <alignment/>
      <protection/>
    </xf>
    <xf numFmtId="1" fontId="2" fillId="8" borderId="41" xfId="562" applyNumberFormat="1" applyFont="1" applyFill="1" applyBorder="1" applyAlignment="1">
      <alignment/>
      <protection/>
    </xf>
    <xf numFmtId="49" fontId="2" fillId="0" borderId="43" xfId="562" applyNumberFormat="1" applyFont="1" applyFill="1" applyBorder="1" applyAlignment="1">
      <alignment vertical="center" wrapText="1"/>
      <protection/>
    </xf>
    <xf numFmtId="49" fontId="5" fillId="0" borderId="44" xfId="562" applyNumberFormat="1" applyFont="1" applyFill="1" applyBorder="1" applyAlignment="1">
      <alignment horizontal="center" vertical="center" wrapText="1"/>
      <protection/>
    </xf>
    <xf numFmtId="3" fontId="2" fillId="0" borderId="44" xfId="562" applyNumberFormat="1" applyFont="1" applyFill="1" applyBorder="1">
      <alignment/>
      <protection/>
    </xf>
    <xf numFmtId="3" fontId="2" fillId="0" borderId="49" xfId="562" applyNumberFormat="1" applyFont="1" applyFill="1" applyBorder="1">
      <alignment/>
      <protection/>
    </xf>
    <xf numFmtId="0" fontId="3" fillId="0" borderId="24" xfId="562" applyFont="1" applyFill="1" applyBorder="1" applyAlignment="1">
      <alignment vertical="center" wrapText="1"/>
      <protection/>
    </xf>
    <xf numFmtId="0" fontId="5" fillId="0" borderId="27" xfId="562" applyFont="1" applyFill="1" applyBorder="1" applyAlignment="1">
      <alignment horizontal="center" vertical="center" wrapText="1"/>
      <protection/>
    </xf>
    <xf numFmtId="3" fontId="39" fillId="0" borderId="25" xfId="562" applyNumberFormat="1" applyFont="1" applyFill="1" applyBorder="1" applyAlignment="1">
      <alignment vertical="center"/>
      <protection/>
    </xf>
    <xf numFmtId="0" fontId="39" fillId="0" borderId="46" xfId="562" applyFont="1" applyFill="1" applyBorder="1" applyAlignment="1">
      <alignment vertical="center" wrapText="1"/>
      <protection/>
    </xf>
    <xf numFmtId="3" fontId="39" fillId="0" borderId="47" xfId="562" applyNumberFormat="1" applyFont="1" applyFill="1" applyBorder="1" applyAlignment="1">
      <alignment vertical="center"/>
      <protection/>
    </xf>
    <xf numFmtId="3" fontId="39" fillId="0" borderId="50" xfId="562" applyNumberFormat="1" applyFont="1" applyFill="1" applyBorder="1" applyAlignment="1">
      <alignment vertical="center"/>
      <protection/>
    </xf>
    <xf numFmtId="0" fontId="3" fillId="0" borderId="46" xfId="562" applyFont="1" applyFill="1" applyBorder="1" applyAlignment="1">
      <alignment wrapText="1"/>
      <protection/>
    </xf>
    <xf numFmtId="0" fontId="5" fillId="0" borderId="47" xfId="562" applyFont="1" applyFill="1" applyBorder="1" applyAlignment="1">
      <alignment horizontal="center" wrapText="1"/>
      <protection/>
    </xf>
    <xf numFmtId="0" fontId="2" fillId="0" borderId="42" xfId="562" applyFont="1" applyBorder="1" applyAlignment="1">
      <alignment wrapText="1"/>
      <protection/>
    </xf>
    <xf numFmtId="0" fontId="2" fillId="8" borderId="42" xfId="562" applyFont="1" applyFill="1" applyBorder="1" applyAlignment="1">
      <alignment wrapText="1"/>
      <protection/>
    </xf>
    <xf numFmtId="0" fontId="5" fillId="8" borderId="41" xfId="562" applyFont="1" applyFill="1" applyBorder="1" applyAlignment="1">
      <alignment horizontal="center" wrapText="1"/>
      <protection/>
    </xf>
    <xf numFmtId="0" fontId="2" fillId="0" borderId="42" xfId="562" applyFont="1" applyFill="1" applyBorder="1" applyAlignment="1">
      <alignment vertical="center" wrapText="1"/>
      <protection/>
    </xf>
    <xf numFmtId="0" fontId="5" fillId="0" borderId="41" xfId="562" applyFont="1" applyFill="1" applyBorder="1" applyAlignment="1">
      <alignment horizontal="center" vertical="center" wrapText="1"/>
      <protection/>
    </xf>
    <xf numFmtId="3" fontId="2" fillId="0" borderId="41" xfId="562" applyNumberFormat="1" applyFont="1" applyFill="1" applyBorder="1" applyAlignment="1">
      <alignment vertical="center"/>
      <protection/>
    </xf>
    <xf numFmtId="3" fontId="2" fillId="0" borderId="45" xfId="562" applyNumberFormat="1" applyFont="1" applyFill="1" applyBorder="1" applyAlignment="1">
      <alignment vertical="center"/>
      <protection/>
    </xf>
    <xf numFmtId="0" fontId="5" fillId="0" borderId="25" xfId="562" applyFont="1" applyFill="1" applyBorder="1" applyAlignment="1">
      <alignment horizontal="center" vertical="center" wrapText="1"/>
      <protection/>
    </xf>
    <xf numFmtId="3" fontId="2" fillId="0" borderId="47" xfId="562" applyNumberFormat="1" applyFont="1" applyFill="1" applyBorder="1" applyAlignment="1">
      <alignment vertical="center"/>
      <protection/>
    </xf>
    <xf numFmtId="3" fontId="3" fillId="0" borderId="47" xfId="562" applyNumberFormat="1" applyFont="1" applyFill="1" applyBorder="1" applyAlignment="1">
      <alignment vertical="center"/>
      <protection/>
    </xf>
    <xf numFmtId="0" fontId="2" fillId="8" borderId="43" xfId="562" applyFont="1" applyFill="1" applyBorder="1" applyAlignment="1">
      <alignment vertical="center" wrapText="1"/>
      <protection/>
    </xf>
    <xf numFmtId="0" fontId="5" fillId="8" borderId="29" xfId="562" applyFont="1" applyFill="1" applyBorder="1" applyAlignment="1">
      <alignment horizontal="center" vertical="center" wrapText="1"/>
      <protection/>
    </xf>
    <xf numFmtId="3" fontId="42" fillId="8" borderId="44" xfId="562" applyNumberFormat="1" applyFont="1" applyFill="1" applyBorder="1" applyAlignment="1">
      <alignment vertical="center"/>
      <protection/>
    </xf>
    <xf numFmtId="3" fontId="41" fillId="8" borderId="44" xfId="562" applyNumberFormat="1" applyFont="1" applyFill="1" applyBorder="1" applyAlignment="1">
      <alignment vertical="center"/>
      <protection/>
    </xf>
    <xf numFmtId="3" fontId="41" fillId="8" borderId="49" xfId="562" applyNumberFormat="1" applyFont="1" applyFill="1" applyBorder="1" applyAlignment="1">
      <alignment vertical="center"/>
      <protection/>
    </xf>
    <xf numFmtId="1" fontId="2" fillId="8" borderId="47" xfId="562" applyNumberFormat="1" applyFont="1" applyFill="1" applyBorder="1" applyAlignment="1">
      <alignment vertical="center"/>
      <protection/>
    </xf>
    <xf numFmtId="0" fontId="2" fillId="82" borderId="24" xfId="562" applyFont="1" applyFill="1" applyBorder="1" applyAlignment="1">
      <alignment vertical="center" wrapText="1"/>
      <protection/>
    </xf>
    <xf numFmtId="0" fontId="5" fillId="82" borderId="25" xfId="562" applyFont="1" applyFill="1" applyBorder="1" applyAlignment="1">
      <alignment horizontal="center" vertical="center" wrapText="1"/>
      <protection/>
    </xf>
    <xf numFmtId="3" fontId="42" fillId="82" borderId="25" xfId="562" applyNumberFormat="1" applyFont="1" applyFill="1" applyBorder="1" applyAlignment="1">
      <alignment vertical="center"/>
      <protection/>
    </xf>
    <xf numFmtId="3" fontId="39" fillId="82" borderId="25" xfId="562" applyNumberFormat="1" applyFont="1" applyFill="1" applyBorder="1" applyAlignment="1">
      <alignment vertical="center"/>
      <protection/>
    </xf>
    <xf numFmtId="3" fontId="41" fillId="82" borderId="33" xfId="562" applyNumberFormat="1" applyFont="1" applyFill="1" applyBorder="1" applyAlignment="1">
      <alignment vertical="center"/>
      <protection/>
    </xf>
    <xf numFmtId="1" fontId="2" fillId="0" borderId="51" xfId="562" applyNumberFormat="1" applyFont="1" applyFill="1" applyBorder="1" applyAlignment="1">
      <alignment vertical="center"/>
      <protection/>
    </xf>
    <xf numFmtId="49" fontId="39" fillId="0" borderId="24" xfId="562" applyNumberFormat="1" applyFont="1" applyFill="1" applyBorder="1" applyAlignment="1">
      <alignment wrapText="1"/>
      <protection/>
    </xf>
    <xf numFmtId="49" fontId="40" fillId="0" borderId="25" xfId="562" applyNumberFormat="1" applyFont="1" applyFill="1" applyBorder="1" applyAlignment="1">
      <alignment horizontal="center" wrapText="1"/>
      <protection/>
    </xf>
    <xf numFmtId="1" fontId="3" fillId="0" borderId="27" xfId="562" applyNumberFormat="1" applyFont="1" applyFill="1" applyBorder="1" applyAlignment="1">
      <alignment vertical="center"/>
      <protection/>
    </xf>
    <xf numFmtId="49" fontId="2" fillId="0" borderId="42" xfId="562" applyNumberFormat="1" applyFont="1" applyFill="1" applyBorder="1" applyAlignment="1">
      <alignment vertical="center" wrapText="1"/>
      <protection/>
    </xf>
    <xf numFmtId="49" fontId="5" fillId="0" borderId="41" xfId="562" applyNumberFormat="1" applyFont="1" applyFill="1" applyBorder="1" applyAlignment="1">
      <alignment horizontal="center" vertical="center" wrapText="1"/>
      <protection/>
    </xf>
    <xf numFmtId="49" fontId="2" fillId="0" borderId="43" xfId="562" applyNumberFormat="1" applyFont="1" applyFill="1" applyBorder="1" applyAlignment="1">
      <alignment wrapText="1"/>
      <protection/>
    </xf>
    <xf numFmtId="49" fontId="5" fillId="0" borderId="44" xfId="562" applyNumberFormat="1" applyFont="1" applyFill="1" applyBorder="1" applyAlignment="1">
      <alignment horizontal="center" wrapText="1"/>
      <protection/>
    </xf>
    <xf numFmtId="1" fontId="2" fillId="0" borderId="47" xfId="562" applyNumberFormat="1" applyFont="1" applyFill="1" applyBorder="1" applyAlignment="1">
      <alignment/>
      <protection/>
    </xf>
    <xf numFmtId="49" fontId="3" fillId="0" borderId="39" xfId="562" applyNumberFormat="1" applyFont="1" applyFill="1" applyBorder="1" applyAlignment="1">
      <alignment wrapText="1"/>
      <protection/>
    </xf>
    <xf numFmtId="49" fontId="5" fillId="0" borderId="40" xfId="562" applyNumberFormat="1" applyFont="1" applyFill="1" applyBorder="1" applyAlignment="1">
      <alignment horizontal="center" wrapText="1"/>
      <protection/>
    </xf>
    <xf numFmtId="3" fontId="3" fillId="0" borderId="40" xfId="562" applyNumberFormat="1" applyFont="1" applyFill="1" applyBorder="1" applyAlignment="1">
      <alignment/>
      <protection/>
    </xf>
    <xf numFmtId="3" fontId="3" fillId="0" borderId="52" xfId="562" applyNumberFormat="1" applyFont="1" applyFill="1" applyBorder="1" applyAlignment="1">
      <alignment/>
      <protection/>
    </xf>
    <xf numFmtId="49" fontId="39" fillId="0" borderId="28" xfId="562" applyNumberFormat="1" applyFont="1" applyFill="1" applyBorder="1" applyAlignment="1">
      <alignment vertical="center" wrapText="1"/>
      <protection/>
    </xf>
    <xf numFmtId="49" fontId="5" fillId="0" borderId="29" xfId="562" applyNumberFormat="1" applyFont="1" applyFill="1" applyBorder="1" applyAlignment="1">
      <alignment horizontal="center" vertical="center" wrapText="1"/>
      <protection/>
    </xf>
    <xf numFmtId="3" fontId="39" fillId="0" borderId="29" xfId="562" applyNumberFormat="1" applyFont="1" applyFill="1" applyBorder="1" applyAlignment="1">
      <alignment vertical="center"/>
      <protection/>
    </xf>
    <xf numFmtId="3" fontId="39" fillId="0" borderId="35" xfId="562" applyNumberFormat="1" applyFont="1" applyFill="1" applyBorder="1" applyAlignment="1">
      <alignment vertical="center"/>
      <protection/>
    </xf>
    <xf numFmtId="1" fontId="3" fillId="0" borderId="29" xfId="562" applyNumberFormat="1" applyFont="1" applyFill="1" applyBorder="1" applyAlignment="1">
      <alignment vertical="center"/>
      <protection/>
    </xf>
    <xf numFmtId="49" fontId="2" fillId="0" borderId="26" xfId="562" applyNumberFormat="1" applyFont="1" applyFill="1" applyBorder="1" applyAlignment="1">
      <alignment horizontal="left" wrapText="1"/>
      <protection/>
    </xf>
    <xf numFmtId="49" fontId="2" fillId="0" borderId="25" xfId="562" applyNumberFormat="1" applyFont="1" applyFill="1" applyBorder="1" applyAlignment="1">
      <alignment horizontal="center" wrapText="1"/>
      <protection/>
    </xf>
    <xf numFmtId="49" fontId="2" fillId="0" borderId="41" xfId="562" applyNumberFormat="1" applyFont="1" applyFill="1" applyBorder="1" applyAlignment="1">
      <alignment horizontal="center" wrapText="1"/>
      <protection/>
    </xf>
    <xf numFmtId="49" fontId="2" fillId="0" borderId="42" xfId="562" applyNumberFormat="1" applyFont="1" applyFill="1" applyBorder="1" applyAlignment="1">
      <alignment horizontal="left" vertical="center" wrapText="1"/>
      <protection/>
    </xf>
    <xf numFmtId="3" fontId="2" fillId="0" borderId="27" xfId="562" applyNumberFormat="1" applyFont="1" applyFill="1" applyBorder="1" applyAlignment="1">
      <alignment vertical="center"/>
      <protection/>
    </xf>
    <xf numFmtId="3" fontId="2" fillId="0" borderId="34" xfId="562" applyNumberFormat="1" applyFont="1" applyFill="1" applyBorder="1" applyAlignment="1">
      <alignment vertical="center"/>
      <protection/>
    </xf>
    <xf numFmtId="0" fontId="2" fillId="0" borderId="42" xfId="584" applyFont="1" applyBorder="1" applyAlignment="1">
      <alignment vertical="center" wrapText="1"/>
      <protection/>
    </xf>
    <xf numFmtId="0" fontId="2" fillId="0" borderId="42" xfId="584" applyFont="1" applyBorder="1" applyAlignment="1">
      <alignment wrapText="1"/>
      <protection/>
    </xf>
    <xf numFmtId="0" fontId="2" fillId="0" borderId="26" xfId="584" applyFont="1" applyBorder="1" applyAlignment="1">
      <alignment horizontal="left" wrapText="1"/>
      <protection/>
    </xf>
    <xf numFmtId="0" fontId="2" fillId="0" borderId="42" xfId="584" applyFont="1" applyBorder="1" applyAlignment="1">
      <alignment horizontal="left" wrapText="1"/>
      <protection/>
    </xf>
    <xf numFmtId="0" fontId="2" fillId="8" borderId="42" xfId="584" applyFont="1" applyFill="1" applyBorder="1" applyAlignment="1">
      <alignment horizontal="left" wrapText="1"/>
      <protection/>
    </xf>
    <xf numFmtId="49" fontId="39" fillId="0" borderId="46" xfId="562" applyNumberFormat="1" applyFont="1" applyFill="1" applyBorder="1" applyAlignment="1">
      <alignment vertical="center" wrapText="1"/>
      <protection/>
    </xf>
    <xf numFmtId="3" fontId="2" fillId="0" borderId="50" xfId="562" applyNumberFormat="1" applyFont="1" applyFill="1" applyBorder="1" applyAlignment="1">
      <alignment vertical="center"/>
      <protection/>
    </xf>
    <xf numFmtId="49" fontId="2" fillId="0" borderId="46" xfId="562" applyNumberFormat="1" applyFont="1" applyFill="1" applyBorder="1" applyAlignment="1">
      <alignment vertical="center" wrapText="1"/>
      <protection/>
    </xf>
    <xf numFmtId="49" fontId="2" fillId="10" borderId="43" xfId="562" applyNumberFormat="1" applyFont="1" applyFill="1" applyBorder="1" applyAlignment="1">
      <alignment vertical="center" wrapText="1"/>
      <protection/>
    </xf>
    <xf numFmtId="0" fontId="39" fillId="0" borderId="24" xfId="562" applyFont="1" applyFill="1" applyBorder="1" applyAlignment="1">
      <alignment wrapText="1"/>
      <protection/>
    </xf>
    <xf numFmtId="0" fontId="2" fillId="0" borderId="46" xfId="562" applyFont="1" applyFill="1" applyBorder="1" applyAlignment="1">
      <alignment wrapText="1"/>
      <protection/>
    </xf>
    <xf numFmtId="1" fontId="2" fillId="8" borderId="25" xfId="562" applyNumberFormat="1" applyFont="1" applyFill="1" applyBorder="1" applyAlignment="1">
      <alignment vertical="center"/>
      <protection/>
    </xf>
    <xf numFmtId="1" fontId="2" fillId="8" borderId="27" xfId="562" applyNumberFormat="1" applyFont="1" applyFill="1" applyBorder="1" applyAlignment="1">
      <alignment vertical="center"/>
      <protection/>
    </xf>
    <xf numFmtId="0" fontId="2" fillId="0" borderId="42" xfId="562" applyFont="1" applyFill="1" applyBorder="1" applyAlignment="1">
      <alignment horizontal="left" wrapText="1"/>
      <protection/>
    </xf>
    <xf numFmtId="0" fontId="2" fillId="0" borderId="42" xfId="562" applyFont="1" applyFill="1" applyBorder="1" applyAlignment="1">
      <alignment horizontal="left" vertical="center" wrapText="1"/>
      <protection/>
    </xf>
    <xf numFmtId="0" fontId="5" fillId="0" borderId="47" xfId="562" applyFont="1" applyFill="1" applyBorder="1" applyAlignment="1">
      <alignment horizontal="center" vertical="center" wrapText="1"/>
      <protection/>
    </xf>
    <xf numFmtId="0" fontId="43" fillId="0" borderId="24" xfId="562" applyFont="1" applyFill="1" applyBorder="1" applyAlignment="1">
      <alignment vertical="center" wrapText="1"/>
      <protection/>
    </xf>
    <xf numFmtId="0" fontId="44" fillId="0" borderId="46" xfId="562" applyFont="1" applyFill="1" applyBorder="1" applyAlignment="1">
      <alignment vertical="center" wrapText="1"/>
      <protection/>
    </xf>
    <xf numFmtId="0" fontId="45" fillId="0" borderId="27" xfId="562" applyFont="1" applyFill="1" applyBorder="1" applyAlignment="1">
      <alignment horizontal="center" vertical="center" wrapText="1"/>
      <protection/>
    </xf>
    <xf numFmtId="3" fontId="43" fillId="0" borderId="47" xfId="562" applyNumberFormat="1" applyFont="1" applyFill="1" applyBorder="1" applyAlignment="1">
      <alignment vertical="center"/>
      <protection/>
    </xf>
    <xf numFmtId="3" fontId="46" fillId="0" borderId="47" xfId="562" applyNumberFormat="1" applyFont="1" applyFill="1" applyBorder="1" applyAlignment="1">
      <alignment vertical="center"/>
      <protection/>
    </xf>
    <xf numFmtId="3" fontId="41" fillId="0" borderId="50" xfId="562" applyNumberFormat="1" applyFont="1" applyFill="1" applyBorder="1" applyAlignment="1">
      <alignment vertical="center"/>
      <protection/>
    </xf>
    <xf numFmtId="0" fontId="43" fillId="0" borderId="46" xfId="562" applyFont="1" applyFill="1" applyBorder="1" applyAlignment="1">
      <alignment vertical="center" wrapText="1"/>
      <protection/>
    </xf>
    <xf numFmtId="3" fontId="44" fillId="0" borderId="47" xfId="562" applyNumberFormat="1" applyFont="1" applyFill="1" applyBorder="1" applyAlignment="1">
      <alignment vertical="center"/>
      <protection/>
    </xf>
    <xf numFmtId="0" fontId="47" fillId="0" borderId="46" xfId="562" applyFont="1" applyFill="1" applyBorder="1" applyAlignment="1">
      <alignment vertical="center" wrapText="1"/>
      <protection/>
    </xf>
    <xf numFmtId="0" fontId="45" fillId="0" borderId="47" xfId="562" applyFont="1" applyFill="1" applyBorder="1" applyAlignment="1">
      <alignment horizontal="center" wrapText="1"/>
      <protection/>
    </xf>
    <xf numFmtId="0" fontId="45" fillId="0" borderId="27" xfId="562" applyFont="1" applyFill="1" applyBorder="1" applyAlignment="1">
      <alignment horizontal="center" wrapText="1"/>
      <protection/>
    </xf>
    <xf numFmtId="0" fontId="2" fillId="8" borderId="26" xfId="562" applyFont="1" applyFill="1" applyBorder="1" applyAlignment="1">
      <alignment wrapText="1"/>
      <protection/>
    </xf>
    <xf numFmtId="0" fontId="45" fillId="8" borderId="27" xfId="562" applyFont="1" applyFill="1" applyBorder="1" applyAlignment="1">
      <alignment horizontal="center" wrapText="1"/>
      <protection/>
    </xf>
    <xf numFmtId="3" fontId="2" fillId="8" borderId="27" xfId="562" applyNumberFormat="1" applyFont="1" applyFill="1" applyBorder="1">
      <alignment/>
      <protection/>
    </xf>
    <xf numFmtId="3" fontId="2" fillId="8" borderId="34" xfId="562" applyNumberFormat="1" applyFont="1" applyFill="1" applyBorder="1">
      <alignment/>
      <protection/>
    </xf>
    <xf numFmtId="0" fontId="44" fillId="8" borderId="42" xfId="562" applyFont="1" applyFill="1" applyBorder="1" applyAlignment="1">
      <alignment vertical="center" wrapText="1"/>
      <protection/>
    </xf>
    <xf numFmtId="0" fontId="45" fillId="8" borderId="41" xfId="562" applyFont="1" applyFill="1" applyBorder="1" applyAlignment="1">
      <alignment horizontal="center" vertical="center" wrapText="1"/>
      <protection/>
    </xf>
    <xf numFmtId="3" fontId="2" fillId="8" borderId="41" xfId="562" applyNumberFormat="1" applyFont="1" applyFill="1" applyBorder="1" applyAlignment="1">
      <alignment vertical="center"/>
      <protection/>
    </xf>
    <xf numFmtId="3" fontId="2" fillId="8" borderId="45" xfId="562" applyNumberFormat="1" applyFont="1" applyFill="1" applyBorder="1" applyAlignment="1">
      <alignment vertical="center"/>
      <protection/>
    </xf>
    <xf numFmtId="0" fontId="44" fillId="0" borderId="42" xfId="562" applyFont="1" applyFill="1" applyBorder="1" applyAlignment="1">
      <alignment vertical="center" wrapText="1"/>
      <protection/>
    </xf>
    <xf numFmtId="0" fontId="45" fillId="0" borderId="41" xfId="562" applyFont="1" applyFill="1" applyBorder="1" applyAlignment="1">
      <alignment horizontal="center" vertical="center" wrapText="1"/>
      <protection/>
    </xf>
    <xf numFmtId="0" fontId="39" fillId="0" borderId="46" xfId="562" applyFont="1" applyFill="1" applyBorder="1" applyAlignment="1">
      <alignment wrapText="1"/>
      <protection/>
    </xf>
    <xf numFmtId="1" fontId="41" fillId="0" borderId="47" xfId="562" applyNumberFormat="1" applyFont="1" applyFill="1" applyBorder="1">
      <alignment/>
      <protection/>
    </xf>
    <xf numFmtId="0" fontId="5" fillId="8" borderId="27" xfId="562" applyFont="1" applyFill="1" applyBorder="1" applyAlignment="1">
      <alignment horizontal="center" wrapText="1"/>
      <protection/>
    </xf>
    <xf numFmtId="0" fontId="2" fillId="8" borderId="46" xfId="562" applyFont="1" applyFill="1" applyBorder="1" applyAlignment="1">
      <alignment wrapText="1"/>
      <protection/>
    </xf>
    <xf numFmtId="1" fontId="2" fillId="8" borderId="51" xfId="562" applyNumberFormat="1" applyFont="1" applyFill="1" applyBorder="1" applyAlignment="1">
      <alignment vertical="center"/>
      <protection/>
    </xf>
    <xf numFmtId="0" fontId="2" fillId="0" borderId="53" xfId="562" applyFont="1" applyFill="1" applyBorder="1" applyAlignment="1">
      <alignment vertical="center"/>
      <protection/>
    </xf>
    <xf numFmtId="0" fontId="3" fillId="0" borderId="42" xfId="562" applyFont="1" applyFill="1" applyBorder="1" applyAlignment="1">
      <alignment vertical="center" wrapText="1"/>
      <protection/>
    </xf>
    <xf numFmtId="3" fontId="3" fillId="0" borderId="41" xfId="562" applyNumberFormat="1" applyFont="1" applyFill="1" applyBorder="1" applyAlignment="1">
      <alignment vertical="center"/>
      <protection/>
    </xf>
    <xf numFmtId="0" fontId="3" fillId="0" borderId="26" xfId="562" applyFont="1" applyFill="1" applyBorder="1" applyAlignment="1">
      <alignment vertical="center" wrapText="1"/>
      <protection/>
    </xf>
    <xf numFmtId="3" fontId="39" fillId="0" borderId="27" xfId="562" applyNumberFormat="1" applyFont="1" applyFill="1" applyBorder="1" applyAlignment="1">
      <alignment vertical="center"/>
      <protection/>
    </xf>
    <xf numFmtId="3" fontId="41" fillId="0" borderId="27" xfId="562" applyNumberFormat="1" applyFont="1" applyFill="1" applyBorder="1" applyAlignment="1">
      <alignment vertical="center"/>
      <protection/>
    </xf>
    <xf numFmtId="3" fontId="41" fillId="0" borderId="34" xfId="562" applyNumberFormat="1" applyFont="1" applyFill="1" applyBorder="1" applyAlignment="1">
      <alignment vertical="center"/>
      <protection/>
    </xf>
    <xf numFmtId="0" fontId="2" fillId="0" borderId="26" xfId="562" applyFont="1" applyFill="1" applyBorder="1" applyAlignment="1">
      <alignment vertical="center" wrapText="1"/>
      <protection/>
    </xf>
    <xf numFmtId="0" fontId="39" fillId="0" borderId="26" xfId="562" applyFont="1" applyFill="1" applyBorder="1" applyAlignment="1">
      <alignment vertical="center" wrapText="1"/>
      <protection/>
    </xf>
    <xf numFmtId="3" fontId="39" fillId="0" borderId="41" xfId="562" applyNumberFormat="1" applyFont="1" applyFill="1" applyBorder="1" applyAlignment="1">
      <alignment vertical="center"/>
      <protection/>
    </xf>
    <xf numFmtId="3" fontId="41" fillId="0" borderId="41" xfId="562" applyNumberFormat="1" applyFont="1" applyFill="1" applyBorder="1" applyAlignment="1">
      <alignment vertical="center"/>
      <protection/>
    </xf>
    <xf numFmtId="3" fontId="41" fillId="0" borderId="45" xfId="562" applyNumberFormat="1" applyFont="1" applyFill="1" applyBorder="1" applyAlignment="1">
      <alignment vertical="center"/>
      <protection/>
    </xf>
    <xf numFmtId="3" fontId="39" fillId="0" borderId="45" xfId="562" applyNumberFormat="1" applyFont="1" applyFill="1" applyBorder="1" applyAlignment="1">
      <alignment vertical="center"/>
      <protection/>
    </xf>
    <xf numFmtId="0" fontId="39" fillId="0" borderId="42" xfId="562" applyFont="1" applyFill="1" applyBorder="1" applyAlignment="1">
      <alignment vertical="center" wrapText="1"/>
      <protection/>
    </xf>
    <xf numFmtId="0" fontId="2" fillId="8" borderId="46" xfId="562" applyFont="1" applyFill="1" applyBorder="1" applyAlignment="1">
      <alignment vertical="center" wrapText="1"/>
      <protection/>
    </xf>
    <xf numFmtId="0" fontId="5" fillId="8" borderId="41" xfId="562" applyFont="1" applyFill="1" applyBorder="1" applyAlignment="1">
      <alignment horizontal="center" vertical="center" wrapText="1"/>
      <protection/>
    </xf>
    <xf numFmtId="3" fontId="39" fillId="8" borderId="47" xfId="562" applyNumberFormat="1" applyFont="1" applyFill="1" applyBorder="1" applyAlignment="1">
      <alignment vertical="center"/>
      <protection/>
    </xf>
    <xf numFmtId="3" fontId="39" fillId="8" borderId="50" xfId="562" applyNumberFormat="1" applyFont="1" applyFill="1" applyBorder="1" applyAlignment="1">
      <alignment vertical="center"/>
      <protection/>
    </xf>
    <xf numFmtId="0" fontId="2" fillId="0" borderId="46" xfId="562" applyFont="1" applyFill="1" applyBorder="1" applyAlignment="1">
      <alignment vertical="center" wrapText="1"/>
      <protection/>
    </xf>
    <xf numFmtId="3" fontId="41" fillId="0" borderId="47" xfId="562" applyNumberFormat="1" applyFont="1" applyFill="1" applyBorder="1" applyAlignment="1">
      <alignment vertical="center"/>
      <protection/>
    </xf>
    <xf numFmtId="0" fontId="39" fillId="0" borderId="46" xfId="562" applyFont="1" applyBorder="1">
      <alignment/>
      <protection/>
    </xf>
    <xf numFmtId="0" fontId="2" fillId="0" borderId="26" xfId="562" applyFont="1" applyBorder="1">
      <alignment/>
      <protection/>
    </xf>
    <xf numFmtId="0" fontId="40" fillId="0" borderId="27" xfId="562" applyFont="1" applyFill="1" applyBorder="1" applyAlignment="1">
      <alignment horizontal="center" wrapText="1"/>
      <protection/>
    </xf>
    <xf numFmtId="0" fontId="2" fillId="0" borderId="24" xfId="562" applyFont="1" applyBorder="1">
      <alignment/>
      <protection/>
    </xf>
    <xf numFmtId="0" fontId="5" fillId="0" borderId="0" xfId="562" applyFont="1" applyFill="1" applyAlignment="1">
      <alignment horizontal="center"/>
      <protection/>
    </xf>
    <xf numFmtId="0" fontId="2" fillId="8" borderId="0" xfId="562" applyFont="1" applyFill="1" applyBorder="1">
      <alignment/>
      <protection/>
    </xf>
    <xf numFmtId="3" fontId="82" fillId="0" borderId="27" xfId="562" applyNumberFormat="1" applyFont="1" applyFill="1" applyBorder="1" applyAlignment="1">
      <alignment horizontal="right" wrapText="1"/>
      <protection/>
    </xf>
    <xf numFmtId="1" fontId="83" fillId="0" borderId="41" xfId="562" applyNumberFormat="1" applyFont="1" applyFill="1" applyBorder="1" applyAlignment="1">
      <alignment vertical="center"/>
      <protection/>
    </xf>
    <xf numFmtId="0" fontId="83" fillId="0" borderId="0" xfId="562" applyFont="1" applyFill="1" applyBorder="1">
      <alignment/>
      <protection/>
    </xf>
    <xf numFmtId="49" fontId="84" fillId="0" borderId="46" xfId="562" applyNumberFormat="1" applyFont="1" applyFill="1" applyBorder="1" applyAlignment="1">
      <alignment wrapText="1"/>
      <protection/>
    </xf>
    <xf numFmtId="49" fontId="82" fillId="0" borderId="47" xfId="562" applyNumberFormat="1" applyFont="1" applyFill="1" applyBorder="1" applyAlignment="1">
      <alignment horizontal="center" wrapText="1"/>
      <protection/>
    </xf>
    <xf numFmtId="3" fontId="84" fillId="0" borderId="47" xfId="562" applyNumberFormat="1" applyFont="1" applyFill="1" applyBorder="1" applyAlignment="1">
      <alignment/>
      <protection/>
    </xf>
    <xf numFmtId="3" fontId="85" fillId="0" borderId="47" xfId="562" applyNumberFormat="1" applyFont="1" applyFill="1" applyBorder="1" applyAlignment="1">
      <alignment/>
      <protection/>
    </xf>
    <xf numFmtId="49" fontId="83" fillId="0" borderId="46" xfId="562" applyNumberFormat="1" applyFont="1" applyFill="1" applyBorder="1" applyAlignment="1">
      <alignment wrapText="1"/>
      <protection/>
    </xf>
    <xf numFmtId="3" fontId="83" fillId="0" borderId="47" xfId="562" applyNumberFormat="1" applyFont="1" applyFill="1" applyBorder="1" applyAlignment="1">
      <alignment/>
      <protection/>
    </xf>
    <xf numFmtId="3" fontId="83" fillId="0" borderId="27" xfId="562" applyNumberFormat="1" applyFont="1" applyFill="1" applyBorder="1">
      <alignment/>
      <protection/>
    </xf>
    <xf numFmtId="3" fontId="84" fillId="0" borderId="47" xfId="562" applyNumberFormat="1" applyFont="1" applyFill="1" applyBorder="1" applyAlignment="1">
      <alignment vertical="center"/>
      <protection/>
    </xf>
    <xf numFmtId="0" fontId="86" fillId="0" borderId="0" xfId="562" applyFont="1" applyFill="1" applyBorder="1" applyAlignment="1">
      <alignment vertical="center"/>
      <protection/>
    </xf>
    <xf numFmtId="0" fontId="2" fillId="8" borderId="0" xfId="562" applyFont="1" applyFill="1" applyBorder="1" applyAlignment="1">
      <alignment vertical="center"/>
      <protection/>
    </xf>
    <xf numFmtId="0" fontId="82" fillId="8" borderId="27" xfId="562" applyFont="1" applyFill="1" applyBorder="1" applyAlignment="1">
      <alignment horizontal="center" vertical="center" wrapText="1"/>
      <protection/>
    </xf>
    <xf numFmtId="3" fontId="87" fillId="8" borderId="47" xfId="562" applyNumberFormat="1" applyFont="1" applyFill="1" applyBorder="1" applyAlignment="1">
      <alignment vertical="center"/>
      <protection/>
    </xf>
    <xf numFmtId="3" fontId="2" fillId="8" borderId="47" xfId="562" applyNumberFormat="1" applyFont="1" applyFill="1" applyBorder="1" applyAlignment="1">
      <alignment vertical="center"/>
      <protection/>
    </xf>
    <xf numFmtId="3" fontId="2" fillId="8" borderId="50" xfId="562" applyNumberFormat="1" applyFont="1" applyFill="1" applyBorder="1" applyAlignment="1">
      <alignment vertical="center"/>
      <protection/>
    </xf>
    <xf numFmtId="3" fontId="86" fillId="8" borderId="50" xfId="562" applyNumberFormat="1" applyFont="1" applyFill="1" applyBorder="1" applyAlignment="1">
      <alignment vertical="center"/>
      <protection/>
    </xf>
    <xf numFmtId="1" fontId="86" fillId="8" borderId="41" xfId="562" applyNumberFormat="1" applyFont="1" applyFill="1" applyBorder="1" applyAlignment="1">
      <alignment vertical="center"/>
      <protection/>
    </xf>
    <xf numFmtId="0" fontId="86" fillId="0" borderId="20" xfId="562" applyFont="1" applyFill="1" applyBorder="1" applyAlignment="1">
      <alignment vertical="center"/>
      <protection/>
    </xf>
    <xf numFmtId="0" fontId="5" fillId="8" borderId="27" xfId="562" applyFont="1" applyFill="1" applyBorder="1" applyAlignment="1">
      <alignment horizontal="center" vertical="center" wrapText="1"/>
      <protection/>
    </xf>
    <xf numFmtId="0" fontId="82" fillId="0" borderId="27" xfId="562" applyFont="1" applyFill="1" applyBorder="1" applyAlignment="1">
      <alignment horizontal="center" vertical="center" wrapText="1"/>
      <protection/>
    </xf>
    <xf numFmtId="3" fontId="87" fillId="0" borderId="47" xfId="562" applyNumberFormat="1" applyFont="1" applyFill="1" applyBorder="1" applyAlignment="1">
      <alignment vertical="center"/>
      <protection/>
    </xf>
    <xf numFmtId="3" fontId="86" fillId="0" borderId="50" xfId="562" applyNumberFormat="1" applyFont="1" applyFill="1" applyBorder="1" applyAlignment="1">
      <alignment vertical="center"/>
      <protection/>
    </xf>
    <xf numFmtId="3" fontId="88" fillId="8" borderId="47" xfId="562" applyNumberFormat="1" applyFont="1" applyFill="1" applyBorder="1" applyAlignment="1">
      <alignment vertical="center"/>
      <protection/>
    </xf>
    <xf numFmtId="0" fontId="86" fillId="0" borderId="0" xfId="562" applyFont="1" applyFill="1" applyAlignment="1">
      <alignment vertical="center"/>
      <protection/>
    </xf>
    <xf numFmtId="3" fontId="74" fillId="0" borderId="0" xfId="562" applyNumberFormat="1" applyFont="1" applyFill="1" applyAlignment="1">
      <alignment vertical="center"/>
      <protection/>
    </xf>
    <xf numFmtId="3" fontId="84" fillId="0" borderId="50" xfId="562" applyNumberFormat="1" applyFont="1" applyFill="1" applyBorder="1" applyAlignment="1">
      <alignment/>
      <protection/>
    </xf>
    <xf numFmtId="1" fontId="85" fillId="0" borderId="41" xfId="562" applyNumberFormat="1" applyFont="1" applyFill="1" applyBorder="1" applyAlignment="1">
      <alignment/>
      <protection/>
    </xf>
    <xf numFmtId="3" fontId="88" fillId="0" borderId="50" xfId="562" applyNumberFormat="1" applyFont="1" applyFill="1" applyBorder="1" applyAlignment="1">
      <alignment/>
      <protection/>
    </xf>
    <xf numFmtId="1" fontId="83" fillId="0" borderId="41" xfId="562" applyNumberFormat="1" applyFont="1" applyFill="1" applyBorder="1" applyAlignment="1">
      <alignment/>
      <protection/>
    </xf>
    <xf numFmtId="0" fontId="4" fillId="78" borderId="0" xfId="625" applyFont="1" applyFill="1" applyBorder="1" applyAlignment="1">
      <alignment vertical="center" wrapText="1"/>
      <protection/>
    </xf>
    <xf numFmtId="0" fontId="5" fillId="78" borderId="20" xfId="585" applyFont="1" applyFill="1" applyBorder="1" applyAlignment="1">
      <alignment vertical="center" wrapText="1"/>
      <protection/>
    </xf>
    <xf numFmtId="0" fontId="10" fillId="0" borderId="54" xfId="585" applyFont="1" applyBorder="1" applyAlignment="1">
      <alignment horizontal="center" vertical="center" wrapText="1"/>
      <protection/>
    </xf>
    <xf numFmtId="0" fontId="10" fillId="0" borderId="55" xfId="585" applyFont="1" applyBorder="1" applyAlignment="1">
      <alignment horizontal="center" vertical="center" wrapText="1"/>
      <protection/>
    </xf>
    <xf numFmtId="4" fontId="8" fillId="0" borderId="32" xfId="625" applyNumberFormat="1" applyFont="1" applyFill="1" applyBorder="1" applyAlignment="1" applyProtection="1">
      <alignment horizontal="center" vertical="center" wrapText="1"/>
      <protection locked="0"/>
    </xf>
    <xf numFmtId="4" fontId="8" fillId="0" borderId="30" xfId="625" applyNumberFormat="1" applyFont="1" applyFill="1" applyBorder="1" applyAlignment="1" applyProtection="1">
      <alignment horizontal="center" vertical="center" wrapText="1"/>
      <protection locked="0"/>
    </xf>
    <xf numFmtId="4" fontId="8" fillId="0" borderId="19" xfId="625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625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585" applyFont="1" applyBorder="1" applyAlignment="1">
      <alignment horizontal="center" vertical="center"/>
      <protection/>
    </xf>
    <xf numFmtId="0" fontId="9" fillId="0" borderId="20" xfId="585" applyFont="1" applyBorder="1" applyAlignment="1">
      <alignment horizontal="center" vertical="center"/>
      <protection/>
    </xf>
    <xf numFmtId="0" fontId="9" fillId="0" borderId="19" xfId="585" applyFont="1" applyBorder="1" applyAlignment="1">
      <alignment horizontal="center" vertical="center"/>
      <protection/>
    </xf>
    <xf numFmtId="0" fontId="2" fillId="0" borderId="0" xfId="562" applyFont="1" applyFill="1" applyAlignment="1">
      <alignment horizontal="center"/>
      <protection/>
    </xf>
    <xf numFmtId="0" fontId="33" fillId="0" borderId="0" xfId="562" applyFont="1" applyFill="1" applyBorder="1" applyAlignment="1">
      <alignment horizontal="center" vertical="center"/>
      <protection/>
    </xf>
    <xf numFmtId="0" fontId="2" fillId="0" borderId="0" xfId="562" applyFont="1" applyAlignment="1">
      <alignment horizontal="left" wrapText="1"/>
      <protection/>
    </xf>
    <xf numFmtId="0" fontId="2" fillId="0" borderId="0" xfId="562" applyFont="1" applyAlignment="1">
      <alignment wrapText="1"/>
      <protection/>
    </xf>
    <xf numFmtId="166" fontId="15" fillId="79" borderId="23" xfId="625" applyNumberFormat="1" applyFont="1" applyFill="1" applyBorder="1" applyAlignment="1" applyProtection="1">
      <alignment vertical="center"/>
      <protection/>
    </xf>
    <xf numFmtId="166" fontId="15" fillId="58" borderId="20" xfId="625" applyNumberFormat="1" applyFont="1" applyFill="1" applyBorder="1" applyAlignment="1" applyProtection="1">
      <alignment vertical="center"/>
      <protection/>
    </xf>
    <xf numFmtId="166" fontId="16" fillId="0" borderId="20" xfId="625" applyNumberFormat="1" applyFont="1" applyFill="1" applyBorder="1" applyAlignment="1" applyProtection="1">
      <alignment vertical="center"/>
      <protection locked="0"/>
    </xf>
    <xf numFmtId="166" fontId="16" fillId="0" borderId="20" xfId="625" applyNumberFormat="1" applyFont="1" applyFill="1" applyBorder="1" applyAlignment="1" applyProtection="1">
      <alignment horizontal="right" vertical="center"/>
      <protection locked="0"/>
    </xf>
    <xf numFmtId="166" fontId="16" fillId="0" borderId="22" xfId="625" applyNumberFormat="1" applyFont="1" applyFill="1" applyBorder="1" applyAlignment="1" applyProtection="1">
      <alignment vertical="center"/>
      <protection/>
    </xf>
    <xf numFmtId="166" fontId="14" fillId="79" borderId="23" xfId="585" applyNumberFormat="1" applyFont="1" applyFill="1" applyBorder="1" applyAlignment="1">
      <alignment vertical="center"/>
      <protection/>
    </xf>
    <xf numFmtId="166" fontId="14" fillId="58" borderId="20" xfId="625" applyNumberFormat="1" applyFont="1" applyFill="1" applyBorder="1" applyAlignment="1">
      <alignment vertical="center"/>
      <protection/>
    </xf>
    <xf numFmtId="166" fontId="16" fillId="77" borderId="20" xfId="625" applyNumberFormat="1" applyFont="1" applyFill="1" applyBorder="1" applyAlignment="1" applyProtection="1">
      <alignment vertical="center"/>
      <protection locked="0"/>
    </xf>
    <xf numFmtId="166" fontId="11" fillId="0" borderId="22" xfId="585" applyNumberFormat="1" applyFont="1" applyFill="1" applyBorder="1" applyAlignment="1">
      <alignment vertical="center"/>
      <protection/>
    </xf>
    <xf numFmtId="166" fontId="14" fillId="80" borderId="37" xfId="585" applyNumberFormat="1" applyFont="1" applyFill="1" applyBorder="1" applyAlignment="1">
      <alignment vertical="center"/>
      <protection/>
    </xf>
    <xf numFmtId="166" fontId="16" fillId="77" borderId="20" xfId="625" applyNumberFormat="1" applyFont="1" applyFill="1" applyBorder="1" applyAlignment="1" applyProtection="1">
      <alignment horizontal="right" vertical="center"/>
      <protection locked="0"/>
    </xf>
    <xf numFmtId="166" fontId="16" fillId="77" borderId="22" xfId="625" applyNumberFormat="1" applyFont="1" applyFill="1" applyBorder="1" applyAlignment="1" applyProtection="1">
      <alignment vertical="center"/>
      <protection locked="0"/>
    </xf>
    <xf numFmtId="166" fontId="14" fillId="79" borderId="37" xfId="585" applyNumberFormat="1" applyFont="1" applyFill="1" applyBorder="1" applyAlignment="1">
      <alignment vertical="center"/>
      <protection/>
    </xf>
    <xf numFmtId="166" fontId="11" fillId="0" borderId="20" xfId="625" applyNumberFormat="1" applyFont="1" applyFill="1" applyBorder="1" applyAlignment="1" applyProtection="1">
      <alignment vertical="center"/>
      <protection/>
    </xf>
    <xf numFmtId="166" fontId="14" fillId="78" borderId="20" xfId="625" applyNumberFormat="1" applyFont="1" applyFill="1" applyBorder="1" applyAlignment="1" applyProtection="1">
      <alignment vertical="center"/>
      <protection/>
    </xf>
    <xf numFmtId="166" fontId="16" fillId="58" borderId="20" xfId="585" applyNumberFormat="1" applyFont="1" applyFill="1" applyBorder="1" applyAlignment="1" applyProtection="1">
      <alignment vertical="center"/>
      <protection/>
    </xf>
    <xf numFmtId="166" fontId="16" fillId="58" borderId="20" xfId="585" applyNumberFormat="1" applyFont="1" applyFill="1" applyBorder="1" applyAlignment="1" applyProtection="1">
      <alignment horizontal="right" vertical="center"/>
      <protection/>
    </xf>
    <xf numFmtId="166" fontId="16" fillId="58" borderId="22" xfId="585" applyNumberFormat="1" applyFont="1" applyFill="1" applyBorder="1" applyAlignment="1" applyProtection="1">
      <alignment vertical="center"/>
      <protection/>
    </xf>
  </cellXfs>
  <cellStyles count="675">
    <cellStyle name="Normal" xfId="0"/>
    <cellStyle name="20% - Accent1 2" xfId="15"/>
    <cellStyle name="20% - Accent1 2 2" xfId="16"/>
    <cellStyle name="20% - Accent1 2 3" xfId="17"/>
    <cellStyle name="20% - Accent1 2 4" xfId="18"/>
    <cellStyle name="20% - Accent1 2 5" xfId="19"/>
    <cellStyle name="20% - Accent1 2 6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2 2" xfId="27"/>
    <cellStyle name="20% - Accent2 2 2" xfId="28"/>
    <cellStyle name="20% - Accent2 2 3" xfId="29"/>
    <cellStyle name="20% - Accent2 2 4" xfId="30"/>
    <cellStyle name="20% - Accent2 2 5" xfId="31"/>
    <cellStyle name="20% - Accent2 2 6" xfId="32"/>
    <cellStyle name="20% - Accent2 3" xfId="33"/>
    <cellStyle name="20% - Accent2 3 2" xfId="34"/>
    <cellStyle name="20% - Accent2 3 3" xfId="35"/>
    <cellStyle name="20% - Accent2 3 4" xfId="36"/>
    <cellStyle name="20% - Accent2 3 5" xfId="37"/>
    <cellStyle name="20% - Accent2 3 6" xfId="38"/>
    <cellStyle name="20% - Accent3 2" xfId="39"/>
    <cellStyle name="20% - Accent3 2 2" xfId="40"/>
    <cellStyle name="20% - Accent3 2 3" xfId="41"/>
    <cellStyle name="20% - Accent3 2 4" xfId="42"/>
    <cellStyle name="20% - Accent3 2 5" xfId="43"/>
    <cellStyle name="20% - Accent3 2 6" xfId="44"/>
    <cellStyle name="20% - Accent3 3" xfId="45"/>
    <cellStyle name="20% - Accent3 3 2" xfId="46"/>
    <cellStyle name="20% - Accent3 3 3" xfId="47"/>
    <cellStyle name="20% - Accent3 3 4" xfId="48"/>
    <cellStyle name="20% - Accent3 3 5" xfId="49"/>
    <cellStyle name="20% - Accent3 3 6" xfId="50"/>
    <cellStyle name="20% - Accent4 2" xfId="51"/>
    <cellStyle name="20% - Accent4 2 2" xfId="52"/>
    <cellStyle name="20% - Accent4 2 3" xfId="53"/>
    <cellStyle name="20% - Accent4 2 4" xfId="54"/>
    <cellStyle name="20% - Accent4 2 5" xfId="55"/>
    <cellStyle name="20% - Accent4 2 6" xfId="56"/>
    <cellStyle name="20% - Accent4 3" xfId="57"/>
    <cellStyle name="20% - Accent4 3 2" xfId="58"/>
    <cellStyle name="20% - Accent4 3 3" xfId="59"/>
    <cellStyle name="20% - Accent4 3 4" xfId="60"/>
    <cellStyle name="20% - Accent4 3 5" xfId="61"/>
    <cellStyle name="20% - Accent4 3 6" xfId="62"/>
    <cellStyle name="20% - Accent5 2" xfId="63"/>
    <cellStyle name="20% - Accent5 2 2" xfId="64"/>
    <cellStyle name="20% - Accent5 2 3" xfId="65"/>
    <cellStyle name="20% - Accent5 2 4" xfId="66"/>
    <cellStyle name="20% - Accent5 2 5" xfId="67"/>
    <cellStyle name="20% - Accent5 2 6" xfId="68"/>
    <cellStyle name="20% - Accent5 3" xfId="69"/>
    <cellStyle name="20% - Accent5 3 2" xfId="70"/>
    <cellStyle name="20% - Accent5 3 3" xfId="71"/>
    <cellStyle name="20% - Accent5 3 4" xfId="72"/>
    <cellStyle name="20% - Accent5 3 5" xfId="73"/>
    <cellStyle name="20% - Accent5 3 6" xfId="74"/>
    <cellStyle name="20% - Accent6 2" xfId="75"/>
    <cellStyle name="20% - Accent6 2 2" xfId="76"/>
    <cellStyle name="20% - Accent6 2 3" xfId="77"/>
    <cellStyle name="20% - Accent6 2 4" xfId="78"/>
    <cellStyle name="20% - Accent6 2 5" xfId="79"/>
    <cellStyle name="20% - Accent6 2 6" xfId="80"/>
    <cellStyle name="20% - Accent6 3" xfId="81"/>
    <cellStyle name="20% - Accent6 3 2" xfId="82"/>
    <cellStyle name="20% - Accent6 3 3" xfId="83"/>
    <cellStyle name="20% - Accent6 3 4" xfId="84"/>
    <cellStyle name="20% - Accent6 3 5" xfId="85"/>
    <cellStyle name="20% - Accent6 3 6" xfId="86"/>
    <cellStyle name="20% – rõhk1" xfId="87"/>
    <cellStyle name="20% – rõhk1 10" xfId="88"/>
    <cellStyle name="20% – rõhk1 2" xfId="89"/>
    <cellStyle name="20% – rõhk1 2 2" xfId="90"/>
    <cellStyle name="20% – rõhk1 2 2 2" xfId="91"/>
    <cellStyle name="20% – rõhk1 2 3" xfId="92"/>
    <cellStyle name="20% – rõhk1 3" xfId="93"/>
    <cellStyle name="20% – rõhk1 3 2" xfId="94"/>
    <cellStyle name="20% – rõhk1 4" xfId="95"/>
    <cellStyle name="20% – rõhk1 4 2" xfId="96"/>
    <cellStyle name="20% – rõhk1 5" xfId="97"/>
    <cellStyle name="20% – rõhk1 5 2" xfId="98"/>
    <cellStyle name="20% – rõhk1 6" xfId="99"/>
    <cellStyle name="20% – rõhk1 6 2" xfId="100"/>
    <cellStyle name="20% – rõhk1 7" xfId="101"/>
    <cellStyle name="20% – rõhk1 7 2" xfId="102"/>
    <cellStyle name="20% – rõhk1 8" xfId="103"/>
    <cellStyle name="20% – rõhk1 8 2" xfId="104"/>
    <cellStyle name="20% – rõhk1 9" xfId="105"/>
    <cellStyle name="20% – rõhk2" xfId="106"/>
    <cellStyle name="20% – rõhk2 10" xfId="107"/>
    <cellStyle name="20% – rõhk2 2" xfId="108"/>
    <cellStyle name="20% – rõhk2 2 2" xfId="109"/>
    <cellStyle name="20% – rõhk2 2 2 2" xfId="110"/>
    <cellStyle name="20% – rõhk2 2 3" xfId="111"/>
    <cellStyle name="20% – rõhk2 3" xfId="112"/>
    <cellStyle name="20% – rõhk2 3 2" xfId="113"/>
    <cellStyle name="20% – rõhk2 4" xfId="114"/>
    <cellStyle name="20% – rõhk2 4 2" xfId="115"/>
    <cellStyle name="20% – rõhk2 5" xfId="116"/>
    <cellStyle name="20% – rõhk2 5 2" xfId="117"/>
    <cellStyle name="20% – rõhk2 6" xfId="118"/>
    <cellStyle name="20% – rõhk2 6 2" xfId="119"/>
    <cellStyle name="20% – rõhk2 7" xfId="120"/>
    <cellStyle name="20% – rõhk2 7 2" xfId="121"/>
    <cellStyle name="20% – rõhk2 8" xfId="122"/>
    <cellStyle name="20% – rõhk2 8 2" xfId="123"/>
    <cellStyle name="20% – rõhk2 9" xfId="124"/>
    <cellStyle name="20% – rõhk3" xfId="125"/>
    <cellStyle name="20% – rõhk3 10" xfId="126"/>
    <cellStyle name="20% – rõhk3 2" xfId="127"/>
    <cellStyle name="20% – rõhk3 2 2" xfId="128"/>
    <cellStyle name="20% – rõhk3 2 2 2" xfId="129"/>
    <cellStyle name="20% – rõhk3 2 3" xfId="130"/>
    <cellStyle name="20% – rõhk3 3" xfId="131"/>
    <cellStyle name="20% – rõhk3 3 2" xfId="132"/>
    <cellStyle name="20% – rõhk3 4" xfId="133"/>
    <cellStyle name="20% – rõhk3 4 2" xfId="134"/>
    <cellStyle name="20% – rõhk3 5" xfId="135"/>
    <cellStyle name="20% – rõhk3 5 2" xfId="136"/>
    <cellStyle name="20% – rõhk3 6" xfId="137"/>
    <cellStyle name="20% – rõhk3 6 2" xfId="138"/>
    <cellStyle name="20% – rõhk3 7" xfId="139"/>
    <cellStyle name="20% – rõhk3 7 2" xfId="140"/>
    <cellStyle name="20% – rõhk3 8" xfId="141"/>
    <cellStyle name="20% – rõhk3 8 2" xfId="142"/>
    <cellStyle name="20% – rõhk3 9" xfId="143"/>
    <cellStyle name="20% – rõhk4" xfId="144"/>
    <cellStyle name="20% – rõhk4 10" xfId="145"/>
    <cellStyle name="20% – rõhk4 2" xfId="146"/>
    <cellStyle name="20% – rõhk4 2 2" xfId="147"/>
    <cellStyle name="20% – rõhk4 2 2 2" xfId="148"/>
    <cellStyle name="20% – rõhk4 2 3" xfId="149"/>
    <cellStyle name="20% – rõhk4 3" xfId="150"/>
    <cellStyle name="20% – rõhk4 3 2" xfId="151"/>
    <cellStyle name="20% – rõhk4 4" xfId="152"/>
    <cellStyle name="20% – rõhk4 4 2" xfId="153"/>
    <cellStyle name="20% – rõhk4 5" xfId="154"/>
    <cellStyle name="20% – rõhk4 5 2" xfId="155"/>
    <cellStyle name="20% – rõhk4 6" xfId="156"/>
    <cellStyle name="20% – rõhk4 6 2" xfId="157"/>
    <cellStyle name="20% – rõhk4 7" xfId="158"/>
    <cellStyle name="20% – rõhk4 7 2" xfId="159"/>
    <cellStyle name="20% – rõhk4 8" xfId="160"/>
    <cellStyle name="20% – rõhk4 8 2" xfId="161"/>
    <cellStyle name="20% – rõhk4 9" xfId="162"/>
    <cellStyle name="20% – rõhk5" xfId="163"/>
    <cellStyle name="20% – rõhk5 10" xfId="164"/>
    <cellStyle name="20% – rõhk5 2" xfId="165"/>
    <cellStyle name="20% – rõhk5 2 2" xfId="166"/>
    <cellStyle name="20% – rõhk5 2 2 2" xfId="167"/>
    <cellStyle name="20% – rõhk5 2 3" xfId="168"/>
    <cellStyle name="20% – rõhk5 3" xfId="169"/>
    <cellStyle name="20% – rõhk5 3 2" xfId="170"/>
    <cellStyle name="20% – rõhk5 4" xfId="171"/>
    <cellStyle name="20% – rõhk5 4 2" xfId="172"/>
    <cellStyle name="20% – rõhk5 5" xfId="173"/>
    <cellStyle name="20% – rõhk5 5 2" xfId="174"/>
    <cellStyle name="20% – rõhk5 6" xfId="175"/>
    <cellStyle name="20% – rõhk5 6 2" xfId="176"/>
    <cellStyle name="20% – rõhk5 7" xfId="177"/>
    <cellStyle name="20% – rõhk5 7 2" xfId="178"/>
    <cellStyle name="20% – rõhk5 8" xfId="179"/>
    <cellStyle name="20% – rõhk5 8 2" xfId="180"/>
    <cellStyle name="20% – rõhk5 9" xfId="181"/>
    <cellStyle name="20% – rõhk6" xfId="182"/>
    <cellStyle name="20% – rõhk6 10" xfId="183"/>
    <cellStyle name="20% – rõhk6 2" xfId="184"/>
    <cellStyle name="20% – rõhk6 2 2" xfId="185"/>
    <cellStyle name="20% – rõhk6 2 2 2" xfId="186"/>
    <cellStyle name="20% – rõhk6 2 3" xfId="187"/>
    <cellStyle name="20% – rõhk6 3" xfId="188"/>
    <cellStyle name="20% – rõhk6 3 2" xfId="189"/>
    <cellStyle name="20% – rõhk6 4" xfId="190"/>
    <cellStyle name="20% – rõhk6 4 2" xfId="191"/>
    <cellStyle name="20% – rõhk6 5" xfId="192"/>
    <cellStyle name="20% – rõhk6 5 2" xfId="193"/>
    <cellStyle name="20% – rõhk6 6" xfId="194"/>
    <cellStyle name="20% – rõhk6 6 2" xfId="195"/>
    <cellStyle name="20% – rõhk6 7" xfId="196"/>
    <cellStyle name="20% – rõhk6 7 2" xfId="197"/>
    <cellStyle name="20% – rõhk6 8" xfId="198"/>
    <cellStyle name="20% – rõhk6 8 2" xfId="199"/>
    <cellStyle name="20% – rõhk6 9" xfId="200"/>
    <cellStyle name="20% - Акцент1" xfId="201"/>
    <cellStyle name="20% - Акцент1 2" xfId="202"/>
    <cellStyle name="20% - Акцент1 3" xfId="203"/>
    <cellStyle name="20% - Акцент1 4" xfId="204"/>
    <cellStyle name="20% - Акцент1 5" xfId="205"/>
    <cellStyle name="20% - Акцент1 6" xfId="206"/>
    <cellStyle name="20% - Акцент2" xfId="207"/>
    <cellStyle name="20% - Акцент2 2" xfId="208"/>
    <cellStyle name="20% - Акцент2 3" xfId="209"/>
    <cellStyle name="20% - Акцент2 4" xfId="210"/>
    <cellStyle name="20% - Акцент2 5" xfId="211"/>
    <cellStyle name="20% - Акцент2 6" xfId="212"/>
    <cellStyle name="20% - Акцент3" xfId="213"/>
    <cellStyle name="20% - Акцент3 2" xfId="214"/>
    <cellStyle name="20% - Акцент3 3" xfId="215"/>
    <cellStyle name="20% - Акцент3 4" xfId="216"/>
    <cellStyle name="20% - Акцент3 5" xfId="217"/>
    <cellStyle name="20% - Акцент3 6" xfId="218"/>
    <cellStyle name="20% - Акцент4" xfId="219"/>
    <cellStyle name="20% - Акцент4 2" xfId="220"/>
    <cellStyle name="20% - Акцент4 3" xfId="221"/>
    <cellStyle name="20% - Акцент4 4" xfId="222"/>
    <cellStyle name="20% - Акцент4 5" xfId="223"/>
    <cellStyle name="20% - Акцент4 6" xfId="224"/>
    <cellStyle name="20% - Акцент5" xfId="225"/>
    <cellStyle name="20% - Акцент5 2" xfId="226"/>
    <cellStyle name="20% - Акцент5 3" xfId="227"/>
    <cellStyle name="20% - Акцент5 4" xfId="228"/>
    <cellStyle name="20% - Акцент5 5" xfId="229"/>
    <cellStyle name="20% - Акцент5 6" xfId="230"/>
    <cellStyle name="20% - Акцент6" xfId="231"/>
    <cellStyle name="20% - Акцент6 2" xfId="232"/>
    <cellStyle name="20% - Акцент6 3" xfId="233"/>
    <cellStyle name="20% - Акцент6 4" xfId="234"/>
    <cellStyle name="20% - Акцент6 5" xfId="235"/>
    <cellStyle name="20% - Акцент6 6" xfId="236"/>
    <cellStyle name="40% - Accent1 2" xfId="237"/>
    <cellStyle name="40% - Accent1 2 2" xfId="238"/>
    <cellStyle name="40% - Accent1 2 3" xfId="239"/>
    <cellStyle name="40% - Accent1 2 4" xfId="240"/>
    <cellStyle name="40% - Accent1 2 5" xfId="241"/>
    <cellStyle name="40% - Accent1 2 6" xfId="242"/>
    <cellStyle name="40% - Accent1 3" xfId="243"/>
    <cellStyle name="40% - Accent1 3 2" xfId="244"/>
    <cellStyle name="40% - Accent1 3 3" xfId="245"/>
    <cellStyle name="40% - Accent1 3 4" xfId="246"/>
    <cellStyle name="40% - Accent1 3 5" xfId="247"/>
    <cellStyle name="40% - Accent1 3 6" xfId="248"/>
    <cellStyle name="40% - Accent2 2" xfId="249"/>
    <cellStyle name="40% - Accent2 2 2" xfId="250"/>
    <cellStyle name="40% - Accent2 2 3" xfId="251"/>
    <cellStyle name="40% - Accent2 2 4" xfId="252"/>
    <cellStyle name="40% - Accent2 2 5" xfId="253"/>
    <cellStyle name="40% - Accent2 2 6" xfId="254"/>
    <cellStyle name="40% - Accent2 3" xfId="255"/>
    <cellStyle name="40% - Accent2 3 2" xfId="256"/>
    <cellStyle name="40% - Accent2 3 3" xfId="257"/>
    <cellStyle name="40% - Accent2 3 4" xfId="258"/>
    <cellStyle name="40% - Accent2 3 5" xfId="259"/>
    <cellStyle name="40% - Accent2 3 6" xfId="260"/>
    <cellStyle name="40% - Accent3 2" xfId="261"/>
    <cellStyle name="40% - Accent3 2 2" xfId="262"/>
    <cellStyle name="40% - Accent3 2 3" xfId="263"/>
    <cellStyle name="40% - Accent3 2 4" xfId="264"/>
    <cellStyle name="40% - Accent3 2 5" xfId="265"/>
    <cellStyle name="40% - Accent3 2 6" xfId="266"/>
    <cellStyle name="40% - Accent3 3" xfId="267"/>
    <cellStyle name="40% - Accent3 3 2" xfId="268"/>
    <cellStyle name="40% - Accent3 3 3" xfId="269"/>
    <cellStyle name="40% - Accent3 3 4" xfId="270"/>
    <cellStyle name="40% - Accent3 3 5" xfId="271"/>
    <cellStyle name="40% - Accent3 3 6" xfId="272"/>
    <cellStyle name="40% - Accent4 2" xfId="273"/>
    <cellStyle name="40% - Accent4 2 2" xfId="274"/>
    <cellStyle name="40% - Accent4 2 3" xfId="275"/>
    <cellStyle name="40% - Accent4 2 4" xfId="276"/>
    <cellStyle name="40% - Accent4 2 5" xfId="277"/>
    <cellStyle name="40% - Accent4 2 6" xfId="278"/>
    <cellStyle name="40% - Accent4 3" xfId="279"/>
    <cellStyle name="40% - Accent4 3 2" xfId="280"/>
    <cellStyle name="40% - Accent4 3 3" xfId="281"/>
    <cellStyle name="40% - Accent4 3 4" xfId="282"/>
    <cellStyle name="40% - Accent4 3 5" xfId="283"/>
    <cellStyle name="40% - Accent4 3 6" xfId="284"/>
    <cellStyle name="40% - Accent5 2" xfId="285"/>
    <cellStyle name="40% - Accent5 2 2" xfId="286"/>
    <cellStyle name="40% - Accent5 2 3" xfId="287"/>
    <cellStyle name="40% - Accent5 2 4" xfId="288"/>
    <cellStyle name="40% - Accent5 2 5" xfId="289"/>
    <cellStyle name="40% - Accent5 2 6" xfId="290"/>
    <cellStyle name="40% - Accent5 3" xfId="291"/>
    <cellStyle name="40% - Accent5 3 2" xfId="292"/>
    <cellStyle name="40% - Accent5 3 3" xfId="293"/>
    <cellStyle name="40% - Accent5 3 4" xfId="294"/>
    <cellStyle name="40% - Accent5 3 5" xfId="295"/>
    <cellStyle name="40% - Accent5 3 6" xfId="296"/>
    <cellStyle name="40% - Accent6 2" xfId="297"/>
    <cellStyle name="40% - Accent6 2 2" xfId="298"/>
    <cellStyle name="40% - Accent6 2 3" xfId="299"/>
    <cellStyle name="40% - Accent6 2 4" xfId="300"/>
    <cellStyle name="40% - Accent6 2 5" xfId="301"/>
    <cellStyle name="40% - Accent6 2 6" xfId="302"/>
    <cellStyle name="40% - Accent6 3" xfId="303"/>
    <cellStyle name="40% - Accent6 3 2" xfId="304"/>
    <cellStyle name="40% - Accent6 3 3" xfId="305"/>
    <cellStyle name="40% - Accent6 3 4" xfId="306"/>
    <cellStyle name="40% - Accent6 3 5" xfId="307"/>
    <cellStyle name="40% - Accent6 3 6" xfId="308"/>
    <cellStyle name="40% – rõhk1" xfId="309"/>
    <cellStyle name="40% – rõhk1 10" xfId="310"/>
    <cellStyle name="40% – rõhk1 2" xfId="311"/>
    <cellStyle name="40% – rõhk1 2 2" xfId="312"/>
    <cellStyle name="40% – rõhk1 2 2 2" xfId="313"/>
    <cellStyle name="40% – rõhk1 2 3" xfId="314"/>
    <cellStyle name="40% – rõhk1 3" xfId="315"/>
    <cellStyle name="40% – rõhk1 3 2" xfId="316"/>
    <cellStyle name="40% – rõhk1 4" xfId="317"/>
    <cellStyle name="40% – rõhk1 4 2" xfId="318"/>
    <cellStyle name="40% – rõhk1 5" xfId="319"/>
    <cellStyle name="40% – rõhk1 5 2" xfId="320"/>
    <cellStyle name="40% – rõhk1 6" xfId="321"/>
    <cellStyle name="40% – rõhk1 6 2" xfId="322"/>
    <cellStyle name="40% – rõhk1 7" xfId="323"/>
    <cellStyle name="40% – rõhk1 7 2" xfId="324"/>
    <cellStyle name="40% – rõhk1 8" xfId="325"/>
    <cellStyle name="40% – rõhk1 8 2" xfId="326"/>
    <cellStyle name="40% – rõhk1 9" xfId="327"/>
    <cellStyle name="40% – rõhk2" xfId="328"/>
    <cellStyle name="40% – rõhk2 10" xfId="329"/>
    <cellStyle name="40% – rõhk2 2" xfId="330"/>
    <cellStyle name="40% – rõhk2 2 2" xfId="331"/>
    <cellStyle name="40% – rõhk2 2 2 2" xfId="332"/>
    <cellStyle name="40% – rõhk2 2 3" xfId="333"/>
    <cellStyle name="40% – rõhk2 3" xfId="334"/>
    <cellStyle name="40% – rõhk2 3 2" xfId="335"/>
    <cellStyle name="40% – rõhk2 4" xfId="336"/>
    <cellStyle name="40% – rõhk2 4 2" xfId="337"/>
    <cellStyle name="40% – rõhk2 5" xfId="338"/>
    <cellStyle name="40% – rõhk2 5 2" xfId="339"/>
    <cellStyle name="40% – rõhk2 6" xfId="340"/>
    <cellStyle name="40% – rõhk2 6 2" xfId="341"/>
    <cellStyle name="40% – rõhk2 7" xfId="342"/>
    <cellStyle name="40% – rõhk2 7 2" xfId="343"/>
    <cellStyle name="40% – rõhk2 8" xfId="344"/>
    <cellStyle name="40% – rõhk2 8 2" xfId="345"/>
    <cellStyle name="40% – rõhk2 9" xfId="346"/>
    <cellStyle name="40% – rõhk3" xfId="347"/>
    <cellStyle name="40% – rõhk3 10" xfId="348"/>
    <cellStyle name="40% – rõhk3 2" xfId="349"/>
    <cellStyle name="40% – rõhk3 2 2" xfId="350"/>
    <cellStyle name="40% – rõhk3 2 2 2" xfId="351"/>
    <cellStyle name="40% – rõhk3 2 3" xfId="352"/>
    <cellStyle name="40% – rõhk3 3" xfId="353"/>
    <cellStyle name="40% – rõhk3 3 2" xfId="354"/>
    <cellStyle name="40% – rõhk3 4" xfId="355"/>
    <cellStyle name="40% – rõhk3 4 2" xfId="356"/>
    <cellStyle name="40% – rõhk3 5" xfId="357"/>
    <cellStyle name="40% – rõhk3 5 2" xfId="358"/>
    <cellStyle name="40% – rõhk3 6" xfId="359"/>
    <cellStyle name="40% – rõhk3 6 2" xfId="360"/>
    <cellStyle name="40% – rõhk3 7" xfId="361"/>
    <cellStyle name="40% – rõhk3 7 2" xfId="362"/>
    <cellStyle name="40% – rõhk3 8" xfId="363"/>
    <cellStyle name="40% – rõhk3 8 2" xfId="364"/>
    <cellStyle name="40% – rõhk3 9" xfId="365"/>
    <cellStyle name="40% – rõhk4" xfId="366"/>
    <cellStyle name="40% – rõhk4 10" xfId="367"/>
    <cellStyle name="40% – rõhk4 2" xfId="368"/>
    <cellStyle name="40% – rõhk4 2 2" xfId="369"/>
    <cellStyle name="40% – rõhk4 2 2 2" xfId="370"/>
    <cellStyle name="40% – rõhk4 2 3" xfId="371"/>
    <cellStyle name="40% – rõhk4 3" xfId="372"/>
    <cellStyle name="40% – rõhk4 3 2" xfId="373"/>
    <cellStyle name="40% – rõhk4 4" xfId="374"/>
    <cellStyle name="40% – rõhk4 4 2" xfId="375"/>
    <cellStyle name="40% – rõhk4 5" xfId="376"/>
    <cellStyle name="40% – rõhk4 5 2" xfId="377"/>
    <cellStyle name="40% – rõhk4 6" xfId="378"/>
    <cellStyle name="40% – rõhk4 6 2" xfId="379"/>
    <cellStyle name="40% – rõhk4 7" xfId="380"/>
    <cellStyle name="40% – rõhk4 7 2" xfId="381"/>
    <cellStyle name="40% – rõhk4 8" xfId="382"/>
    <cellStyle name="40% – rõhk4 8 2" xfId="383"/>
    <cellStyle name="40% – rõhk4 9" xfId="384"/>
    <cellStyle name="40% – rõhk5" xfId="385"/>
    <cellStyle name="40% – rõhk5 10" xfId="386"/>
    <cellStyle name="40% – rõhk5 2" xfId="387"/>
    <cellStyle name="40% – rõhk5 2 2" xfId="388"/>
    <cellStyle name="40% – rõhk5 2 2 2" xfId="389"/>
    <cellStyle name="40% – rõhk5 2 3" xfId="390"/>
    <cellStyle name="40% – rõhk5 3" xfId="391"/>
    <cellStyle name="40% – rõhk5 3 2" xfId="392"/>
    <cellStyle name="40% – rõhk5 4" xfId="393"/>
    <cellStyle name="40% – rõhk5 4 2" xfId="394"/>
    <cellStyle name="40% – rõhk5 5" xfId="395"/>
    <cellStyle name="40% – rõhk5 5 2" xfId="396"/>
    <cellStyle name="40% – rõhk5 6" xfId="397"/>
    <cellStyle name="40% – rõhk5 6 2" xfId="398"/>
    <cellStyle name="40% – rõhk5 7" xfId="399"/>
    <cellStyle name="40% – rõhk5 7 2" xfId="400"/>
    <cellStyle name="40% – rõhk5 8" xfId="401"/>
    <cellStyle name="40% – rõhk5 8 2" xfId="402"/>
    <cellStyle name="40% – rõhk5 9" xfId="403"/>
    <cellStyle name="40% – rõhk6" xfId="404"/>
    <cellStyle name="40% – rõhk6 10" xfId="405"/>
    <cellStyle name="40% – rõhk6 2" xfId="406"/>
    <cellStyle name="40% – rõhk6 2 2" xfId="407"/>
    <cellStyle name="40% – rõhk6 2 2 2" xfId="408"/>
    <cellStyle name="40% – rõhk6 2 3" xfId="409"/>
    <cellStyle name="40% – rõhk6 3" xfId="410"/>
    <cellStyle name="40% – rõhk6 3 2" xfId="411"/>
    <cellStyle name="40% – rõhk6 4" xfId="412"/>
    <cellStyle name="40% – rõhk6 4 2" xfId="413"/>
    <cellStyle name="40% – rõhk6 5" xfId="414"/>
    <cellStyle name="40% – rõhk6 5 2" xfId="415"/>
    <cellStyle name="40% – rõhk6 6" xfId="416"/>
    <cellStyle name="40% – rõhk6 6 2" xfId="417"/>
    <cellStyle name="40% – rõhk6 7" xfId="418"/>
    <cellStyle name="40% – rõhk6 7 2" xfId="419"/>
    <cellStyle name="40% – rõhk6 8" xfId="420"/>
    <cellStyle name="40% – rõhk6 8 2" xfId="421"/>
    <cellStyle name="40% – rõhk6 9" xfId="422"/>
    <cellStyle name="40% - Акцент1" xfId="423"/>
    <cellStyle name="40% - Акцент1 2" xfId="424"/>
    <cellStyle name="40% - Акцент1 3" xfId="425"/>
    <cellStyle name="40% - Акцент1 4" xfId="426"/>
    <cellStyle name="40% - Акцент1 5" xfId="427"/>
    <cellStyle name="40% - Акцент1 6" xfId="428"/>
    <cellStyle name="40% - Акцент2" xfId="429"/>
    <cellStyle name="40% - Акцент2 2" xfId="430"/>
    <cellStyle name="40% - Акцент2 3" xfId="431"/>
    <cellStyle name="40% - Акцент2 4" xfId="432"/>
    <cellStyle name="40% - Акцент2 5" xfId="433"/>
    <cellStyle name="40% - Акцент2 6" xfId="434"/>
    <cellStyle name="40% - Акцент3" xfId="435"/>
    <cellStyle name="40% - Акцент3 2" xfId="436"/>
    <cellStyle name="40% - Акцент3 3" xfId="437"/>
    <cellStyle name="40% - Акцент3 4" xfId="438"/>
    <cellStyle name="40% - Акцент3 5" xfId="439"/>
    <cellStyle name="40% - Акцент3 6" xfId="440"/>
    <cellStyle name="40% - Акцент4" xfId="441"/>
    <cellStyle name="40% - Акцент4 2" xfId="442"/>
    <cellStyle name="40% - Акцент4 3" xfId="443"/>
    <cellStyle name="40% - Акцент4 4" xfId="444"/>
    <cellStyle name="40% - Акцент4 5" xfId="445"/>
    <cellStyle name="40% - Акцент4 6" xfId="446"/>
    <cellStyle name="40% - Акцент5" xfId="447"/>
    <cellStyle name="40% - Акцент5 2" xfId="448"/>
    <cellStyle name="40% - Акцент5 3" xfId="449"/>
    <cellStyle name="40% - Акцент5 4" xfId="450"/>
    <cellStyle name="40% - Акцент5 5" xfId="451"/>
    <cellStyle name="40% - Акцент5 6" xfId="452"/>
    <cellStyle name="40% - Акцент6" xfId="453"/>
    <cellStyle name="40% - Акцент6 2" xfId="454"/>
    <cellStyle name="40% - Акцент6 3" xfId="455"/>
    <cellStyle name="40% - Акцент6 4" xfId="456"/>
    <cellStyle name="40% - Акцент6 5" xfId="457"/>
    <cellStyle name="40% - Акцент6 6" xfId="458"/>
    <cellStyle name="60% - Accent1 2" xfId="459"/>
    <cellStyle name="60% - Accent1 3" xfId="460"/>
    <cellStyle name="60% - Accent2 2" xfId="461"/>
    <cellStyle name="60% - Accent2 3" xfId="462"/>
    <cellStyle name="60% - Accent3 2" xfId="463"/>
    <cellStyle name="60% - Accent3 3" xfId="464"/>
    <cellStyle name="60% - Accent4 2" xfId="465"/>
    <cellStyle name="60% - Accent4 3" xfId="466"/>
    <cellStyle name="60% - Accent5 2" xfId="467"/>
    <cellStyle name="60% - Accent5 3" xfId="468"/>
    <cellStyle name="60% - Accent6 2" xfId="469"/>
    <cellStyle name="60% - Accent6 3" xfId="470"/>
    <cellStyle name="60% – rõhk1" xfId="471"/>
    <cellStyle name="60% – rõhk2" xfId="472"/>
    <cellStyle name="60% – rõhk3" xfId="473"/>
    <cellStyle name="60% – rõhk4" xfId="474"/>
    <cellStyle name="60% – rõhk5" xfId="475"/>
    <cellStyle name="60% – rõhk6" xfId="476"/>
    <cellStyle name="60% - Акцент1" xfId="477"/>
    <cellStyle name="60% - Акцент2" xfId="478"/>
    <cellStyle name="60% - Акцент3" xfId="479"/>
    <cellStyle name="60% - Акцент4" xfId="480"/>
    <cellStyle name="60% - Акцент5" xfId="481"/>
    <cellStyle name="60% - Акцент6" xfId="482"/>
    <cellStyle name="Accent1 2" xfId="483"/>
    <cellStyle name="Accent1 3" xfId="484"/>
    <cellStyle name="Accent2 2" xfId="485"/>
    <cellStyle name="Accent2 3" xfId="486"/>
    <cellStyle name="Accent3 2" xfId="487"/>
    <cellStyle name="Accent3 3" xfId="488"/>
    <cellStyle name="Accent4 2" xfId="489"/>
    <cellStyle name="Accent4 3" xfId="490"/>
    <cellStyle name="Accent5 2" xfId="491"/>
    <cellStyle name="Accent5 3" xfId="492"/>
    <cellStyle name="Accent6 2" xfId="493"/>
    <cellStyle name="Accent6 3" xfId="494"/>
    <cellStyle name="Arvutus" xfId="495"/>
    <cellStyle name="Bad 2" xfId="496"/>
    <cellStyle name="Bad 3" xfId="497"/>
    <cellStyle name="Calculation 2" xfId="498"/>
    <cellStyle name="Calculation 3" xfId="499"/>
    <cellStyle name="Check Cell 2" xfId="500"/>
    <cellStyle name="Check Cell 3" xfId="501"/>
    <cellStyle name="Comma 2" xfId="502"/>
    <cellStyle name="Comma 2 2" xfId="503"/>
    <cellStyle name="Comma 2 2 2" xfId="504"/>
    <cellStyle name="Comma 2 3" xfId="505"/>
    <cellStyle name="Comma 2 4" xfId="506"/>
    <cellStyle name="Comma 2 5" xfId="507"/>
    <cellStyle name="Comma 2 6" xfId="508"/>
    <cellStyle name="Comma 3" xfId="509"/>
    <cellStyle name="Comma 3 2" xfId="510"/>
    <cellStyle name="Explanatory Text 2" xfId="511"/>
    <cellStyle name="Explanatory Text 3" xfId="512"/>
    <cellStyle name="Good 2" xfId="513"/>
    <cellStyle name="Good 3" xfId="514"/>
    <cellStyle name="Halb" xfId="515"/>
    <cellStyle name="Hea" xfId="516"/>
    <cellStyle name="Heading 1 2" xfId="517"/>
    <cellStyle name="Heading 1 3" xfId="518"/>
    <cellStyle name="Heading 2 2" xfId="519"/>
    <cellStyle name="Heading 2 3" xfId="520"/>
    <cellStyle name="Heading 3 2" xfId="521"/>
    <cellStyle name="Heading 3 3" xfId="522"/>
    <cellStyle name="Heading 4 2" xfId="523"/>
    <cellStyle name="Heading 4 3" xfId="524"/>
    <cellStyle name="Hoiatuse tekst" xfId="525"/>
    <cellStyle name="Hoiatustekst" xfId="526"/>
    <cellStyle name="Input 2" xfId="527"/>
    <cellStyle name="Input 3" xfId="528"/>
    <cellStyle name="Kokku" xfId="529"/>
    <cellStyle name="Comma" xfId="530"/>
    <cellStyle name="Comma [0]" xfId="531"/>
    <cellStyle name="Kontrolli lahtrit" xfId="532"/>
    <cellStyle name="Lingitud lahter" xfId="533"/>
    <cellStyle name="Linked Cell 2" xfId="534"/>
    <cellStyle name="Linked Cell 3" xfId="535"/>
    <cellStyle name="Märkus" xfId="536"/>
    <cellStyle name="Märkus 2" xfId="537"/>
    <cellStyle name="Märkus 2 2" xfId="538"/>
    <cellStyle name="Märkus 2 2 2" xfId="539"/>
    <cellStyle name="Märkus 2 3" xfId="540"/>
    <cellStyle name="Märkus 3" xfId="541"/>
    <cellStyle name="Märkus 3 2" xfId="542"/>
    <cellStyle name="Märkus 3 2 2" xfId="543"/>
    <cellStyle name="Märkus 3 3" xfId="544"/>
    <cellStyle name="Märkus 4" xfId="545"/>
    <cellStyle name="Märkus 4 2" xfId="546"/>
    <cellStyle name="Märkus 5" xfId="547"/>
    <cellStyle name="Märkus 5 2" xfId="548"/>
    <cellStyle name="Märkus 6" xfId="549"/>
    <cellStyle name="Märkus 6 2" xfId="550"/>
    <cellStyle name="Märkus 7" xfId="551"/>
    <cellStyle name="Märkus 7 2" xfId="552"/>
    <cellStyle name="Märkus 8" xfId="553"/>
    <cellStyle name="Märkus 8 2" xfId="554"/>
    <cellStyle name="Märkus 9" xfId="555"/>
    <cellStyle name="Neutraalne" xfId="556"/>
    <cellStyle name="Neutral 2" xfId="557"/>
    <cellStyle name="Neutral 3" xfId="558"/>
    <cellStyle name="Normaallaad 10" xfId="559"/>
    <cellStyle name="Normaallaad 10 2" xfId="560"/>
    <cellStyle name="Normaallaad 11" xfId="561"/>
    <cellStyle name="Normaallaad 2" xfId="562"/>
    <cellStyle name="Normaallaad 2 2" xfId="563"/>
    <cellStyle name="Normaallaad 2 2 2" xfId="564"/>
    <cellStyle name="Normaallaad 2 3" xfId="565"/>
    <cellStyle name="Normaallaad 3" xfId="566"/>
    <cellStyle name="Normaallaad 3 2" xfId="567"/>
    <cellStyle name="Normaallaad 3 2 2" xfId="568"/>
    <cellStyle name="Normaallaad 3 3" xfId="569"/>
    <cellStyle name="Normaallaad 4" xfId="570"/>
    <cellStyle name="Normaallaad 4 2" xfId="571"/>
    <cellStyle name="Normaallaad 4 2 2" xfId="572"/>
    <cellStyle name="Normaallaad 4 3" xfId="573"/>
    <cellStyle name="Normaallaad 5" xfId="574"/>
    <cellStyle name="Normaallaad 5 2" xfId="575"/>
    <cellStyle name="Normaallaad 6" xfId="576"/>
    <cellStyle name="Normaallaad 6 2" xfId="577"/>
    <cellStyle name="Normaallaad 7" xfId="578"/>
    <cellStyle name="Normaallaad 7 2" xfId="579"/>
    <cellStyle name="Normaallaad 8" xfId="580"/>
    <cellStyle name="Normaallaad 8 2" xfId="581"/>
    <cellStyle name="Normaallaad 9" xfId="582"/>
    <cellStyle name="Normaallaad 9 2" xfId="583"/>
    <cellStyle name="Normaallaad_Leht1" xfId="584"/>
    <cellStyle name="Normal 2" xfId="585"/>
    <cellStyle name="Normal 2 10" xfId="586"/>
    <cellStyle name="Normal 2 11" xfId="587"/>
    <cellStyle name="Normal 2 2" xfId="588"/>
    <cellStyle name="Normal 2 2 2" xfId="589"/>
    <cellStyle name="Normal 2 2 2 2" xfId="590"/>
    <cellStyle name="Normal 2 2 3" xfId="591"/>
    <cellStyle name="Normal 2 2 4" xfId="592"/>
    <cellStyle name="Normal 2 3" xfId="593"/>
    <cellStyle name="Normal 2 3 2" xfId="594"/>
    <cellStyle name="Normal 2 3 3" xfId="595"/>
    <cellStyle name="Normal 2 4" xfId="596"/>
    <cellStyle name="Normal 2 4 2" xfId="597"/>
    <cellStyle name="Normal 2 4 3" xfId="598"/>
    <cellStyle name="Normal 2 5" xfId="599"/>
    <cellStyle name="Normal 2 6" xfId="600"/>
    <cellStyle name="Normal 2 7" xfId="601"/>
    <cellStyle name="Normal 2 8" xfId="602"/>
    <cellStyle name="Normal 2 9" xfId="603"/>
    <cellStyle name="Normal 21" xfId="604"/>
    <cellStyle name="Normal 3" xfId="605"/>
    <cellStyle name="Normal 3 2" xfId="606"/>
    <cellStyle name="Normal 3 2 2" xfId="607"/>
    <cellStyle name="Normal 3 2 3" xfId="608"/>
    <cellStyle name="Normal 3 3" xfId="609"/>
    <cellStyle name="Normal 3 3 2" xfId="610"/>
    <cellStyle name="Normal 3 3 3" xfId="611"/>
    <cellStyle name="Normal 3 4" xfId="612"/>
    <cellStyle name="Normal 3 4 2" xfId="613"/>
    <cellStyle name="Normal 4" xfId="614"/>
    <cellStyle name="Normal 4 2" xfId="615"/>
    <cellStyle name="Normal 4 3" xfId="616"/>
    <cellStyle name="Normal 4 4" xfId="617"/>
    <cellStyle name="Normal 5" xfId="618"/>
    <cellStyle name="Normal 6" xfId="619"/>
    <cellStyle name="Normal 6 2" xfId="620"/>
    <cellStyle name="Normal 6 3" xfId="621"/>
    <cellStyle name="Normal 6 4" xfId="622"/>
    <cellStyle name="Normal 7" xfId="623"/>
    <cellStyle name="Normal 8" xfId="624"/>
    <cellStyle name="Normal_Sheet1 2" xfId="625"/>
    <cellStyle name="Note 2" xfId="626"/>
    <cellStyle name="Note 3" xfId="627"/>
    <cellStyle name="Output 2" xfId="628"/>
    <cellStyle name="Output 3" xfId="629"/>
    <cellStyle name="Pealkiri" xfId="630"/>
    <cellStyle name="Pealkiri 1" xfId="631"/>
    <cellStyle name="Pealkiri 2" xfId="632"/>
    <cellStyle name="Pealkiri 3" xfId="633"/>
    <cellStyle name="Pealkiri 4" xfId="634"/>
    <cellStyle name="Percent 2" xfId="635"/>
    <cellStyle name="Percent 2 2" xfId="636"/>
    <cellStyle name="Percent 2 3" xfId="637"/>
    <cellStyle name="Percent 2 4" xfId="638"/>
    <cellStyle name="Percent 2 5" xfId="639"/>
    <cellStyle name="Percent 2 6" xfId="640"/>
    <cellStyle name="Percent 3" xfId="641"/>
    <cellStyle name="Percent 3 2" xfId="642"/>
    <cellStyle name="Percent 3 3" xfId="643"/>
    <cellStyle name="Percent 3 4" xfId="644"/>
    <cellStyle name="Percent 4 2" xfId="645"/>
    <cellStyle name="Percent 4 3" xfId="646"/>
    <cellStyle name="Percent 4 4" xfId="647"/>
    <cellStyle name="Percent" xfId="648"/>
    <cellStyle name="Rõhk1" xfId="649"/>
    <cellStyle name="Rõhk2" xfId="650"/>
    <cellStyle name="Rõhk3" xfId="651"/>
    <cellStyle name="Rõhk4" xfId="652"/>
    <cellStyle name="Rõhk5" xfId="653"/>
    <cellStyle name="Rõhk6" xfId="654"/>
    <cellStyle name="Selgitav tekst" xfId="655"/>
    <cellStyle name="Sisestus" xfId="656"/>
    <cellStyle name="Title 2" xfId="657"/>
    <cellStyle name="Title 3" xfId="658"/>
    <cellStyle name="Total 2" xfId="659"/>
    <cellStyle name="Total 3" xfId="660"/>
    <cellStyle name="Currency" xfId="661"/>
    <cellStyle name="Currency [0]" xfId="662"/>
    <cellStyle name="Warning Text 2" xfId="663"/>
    <cellStyle name="Warning Text 3" xfId="664"/>
    <cellStyle name="Väljund" xfId="665"/>
    <cellStyle name="Акцент1" xfId="666"/>
    <cellStyle name="Акцент2" xfId="667"/>
    <cellStyle name="Акцент3" xfId="668"/>
    <cellStyle name="Акцент4" xfId="669"/>
    <cellStyle name="Акцент5" xfId="670"/>
    <cellStyle name="Акцент6" xfId="671"/>
    <cellStyle name="Ввод " xfId="672"/>
    <cellStyle name="Вывод" xfId="673"/>
    <cellStyle name="Вычисление" xfId="674"/>
    <cellStyle name="Заголовок 1" xfId="675"/>
    <cellStyle name="Заголовок 2" xfId="676"/>
    <cellStyle name="Заголовок 3" xfId="677"/>
    <cellStyle name="Заголовок 4" xfId="678"/>
    <cellStyle name="Итог" xfId="679"/>
    <cellStyle name="Контрольная ячейка" xfId="680"/>
    <cellStyle name="Название" xfId="681"/>
    <cellStyle name="Нейтральный" xfId="682"/>
    <cellStyle name="Плохой" xfId="683"/>
    <cellStyle name="Пояснение" xfId="684"/>
    <cellStyle name="Примечание" xfId="685"/>
    <cellStyle name="Связанная ячейка" xfId="686"/>
    <cellStyle name="Текст предупреждения" xfId="687"/>
    <cellStyle name="Хороший" xfId="6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Q18" sqref="Q18"/>
    </sheetView>
  </sheetViews>
  <sheetFormatPr defaultColWidth="9.140625" defaultRowHeight="15"/>
  <cols>
    <col min="1" max="2" width="9.140625" style="11" customWidth="1"/>
    <col min="3" max="3" width="36.140625" style="11" bestFit="1" customWidth="1"/>
    <col min="4" max="4" width="11.140625" style="11" bestFit="1" customWidth="1"/>
    <col min="5" max="5" width="11.28125" style="11" customWidth="1"/>
    <col min="6" max="6" width="9.140625" style="11" customWidth="1"/>
    <col min="7" max="7" width="10.28125" style="11" customWidth="1"/>
    <col min="8" max="16384" width="9.140625" style="11" customWidth="1"/>
  </cols>
  <sheetData>
    <row r="1" spans="1:9" ht="15" thickBot="1">
      <c r="A1" s="95" t="s">
        <v>289</v>
      </c>
      <c r="B1" s="96"/>
      <c r="C1" s="97"/>
      <c r="D1" s="98"/>
      <c r="E1" s="98"/>
      <c r="F1" s="1"/>
      <c r="G1" s="99"/>
      <c r="H1" s="1"/>
      <c r="I1" s="1"/>
    </row>
    <row r="2" spans="1:9" ht="15.75">
      <c r="A2" s="497" t="s">
        <v>55</v>
      </c>
      <c r="B2" s="498"/>
      <c r="C2" s="498"/>
      <c r="D2" s="498"/>
      <c r="E2" s="498"/>
      <c r="F2" s="498"/>
      <c r="G2" s="1"/>
      <c r="H2" s="1"/>
      <c r="I2" s="1"/>
    </row>
    <row r="3" spans="1:9" ht="12.75">
      <c r="A3" s="182"/>
      <c r="B3" s="183" t="s">
        <v>56</v>
      </c>
      <c r="C3" s="184">
        <v>42735</v>
      </c>
      <c r="D3" s="499" t="s">
        <v>57</v>
      </c>
      <c r="E3" s="501" t="s">
        <v>58</v>
      </c>
      <c r="F3" s="503" t="s">
        <v>59</v>
      </c>
      <c r="G3" s="203">
        <v>2015</v>
      </c>
      <c r="H3" s="505" t="s">
        <v>60</v>
      </c>
      <c r="I3" s="503"/>
    </row>
    <row r="4" spans="1:9" ht="12.75">
      <c r="A4" s="150" t="s">
        <v>61</v>
      </c>
      <c r="B4" s="151"/>
      <c r="C4" s="185" t="s">
        <v>62</v>
      </c>
      <c r="D4" s="500"/>
      <c r="E4" s="502"/>
      <c r="F4" s="504"/>
      <c r="G4" s="204" t="s">
        <v>63</v>
      </c>
      <c r="H4" s="176" t="s">
        <v>64</v>
      </c>
      <c r="I4" s="177" t="s">
        <v>59</v>
      </c>
    </row>
    <row r="5" spans="1:9" ht="12.75">
      <c r="A5" s="208"/>
      <c r="B5" s="209" t="s">
        <v>65</v>
      </c>
      <c r="C5" s="210"/>
      <c r="D5" s="211">
        <v>126141786</v>
      </c>
      <c r="E5" s="212">
        <v>126085786.83000003</v>
      </c>
      <c r="F5" s="213">
        <v>0.9995560617002841</v>
      </c>
      <c r="G5" s="211">
        <v>117510838.02</v>
      </c>
      <c r="H5" s="212">
        <v>8574948.810000032</v>
      </c>
      <c r="I5" s="510">
        <v>0.07297155696005335</v>
      </c>
    </row>
    <row r="6" spans="1:9" ht="12.75">
      <c r="A6" s="186">
        <v>30</v>
      </c>
      <c r="B6" s="179" t="s">
        <v>66</v>
      </c>
      <c r="C6" s="187"/>
      <c r="D6" s="198">
        <v>66826500</v>
      </c>
      <c r="E6" s="180">
        <v>67145165.10000001</v>
      </c>
      <c r="F6" s="199">
        <v>1.0047685439159617</v>
      </c>
      <c r="G6" s="198">
        <v>63148782.52</v>
      </c>
      <c r="H6" s="180">
        <v>3996382.5800000057</v>
      </c>
      <c r="I6" s="511">
        <v>0.06328518809898356</v>
      </c>
    </row>
    <row r="7" spans="1:9" ht="12.75">
      <c r="A7" s="131">
        <v>3000</v>
      </c>
      <c r="B7" s="2"/>
      <c r="C7" s="188" t="s">
        <v>67</v>
      </c>
      <c r="D7" s="153">
        <v>64949000</v>
      </c>
      <c r="E7" s="83">
        <v>65124914</v>
      </c>
      <c r="F7" s="132">
        <v>1.002708494357111</v>
      </c>
      <c r="G7" s="153">
        <v>61264504</v>
      </c>
      <c r="H7" s="83">
        <v>3860410</v>
      </c>
      <c r="I7" s="512">
        <v>0.06301218075641321</v>
      </c>
    </row>
    <row r="8" spans="1:9" ht="12.75">
      <c r="A8" s="131">
        <v>3030</v>
      </c>
      <c r="B8" s="2"/>
      <c r="C8" s="188" t="s">
        <v>68</v>
      </c>
      <c r="D8" s="153">
        <v>700000</v>
      </c>
      <c r="E8" s="83">
        <v>696797</v>
      </c>
      <c r="F8" s="132">
        <v>0.9954242857142858</v>
      </c>
      <c r="G8" s="153">
        <v>697665</v>
      </c>
      <c r="H8" s="83">
        <v>-868</v>
      </c>
      <c r="I8" s="512">
        <v>-0.0012441501293600798</v>
      </c>
    </row>
    <row r="9" spans="1:9" ht="12.75">
      <c r="A9" s="131">
        <v>3044</v>
      </c>
      <c r="B9" s="2"/>
      <c r="C9" s="188" t="s">
        <v>69</v>
      </c>
      <c r="D9" s="153">
        <v>405000</v>
      </c>
      <c r="E9" s="83">
        <v>428757.34</v>
      </c>
      <c r="F9" s="132">
        <v>1.0586600987654322</v>
      </c>
      <c r="G9" s="153">
        <v>389715.92</v>
      </c>
      <c r="H9" s="83">
        <v>39041.42000000004</v>
      </c>
      <c r="I9" s="512">
        <v>0.10017917666796892</v>
      </c>
    </row>
    <row r="10" spans="1:9" ht="12.75">
      <c r="A10" s="131">
        <v>3045</v>
      </c>
      <c r="B10" s="2"/>
      <c r="C10" s="188" t="s">
        <v>70</v>
      </c>
      <c r="D10" s="153">
        <v>253500</v>
      </c>
      <c r="E10" s="83">
        <v>192153.07</v>
      </c>
      <c r="F10" s="132">
        <v>0.7580002761341224</v>
      </c>
      <c r="G10" s="153">
        <v>329889.29</v>
      </c>
      <c r="H10" s="83">
        <v>-137736.21999999997</v>
      </c>
      <c r="I10" s="512">
        <v>-0.41752255734037313</v>
      </c>
    </row>
    <row r="11" spans="1:9" ht="12.75">
      <c r="A11" s="131">
        <v>3047</v>
      </c>
      <c r="B11" s="2"/>
      <c r="C11" s="189" t="s">
        <v>71</v>
      </c>
      <c r="D11" s="153">
        <v>519000</v>
      </c>
      <c r="E11" s="83">
        <v>702543.69</v>
      </c>
      <c r="F11" s="132">
        <v>1.3536487283236993</v>
      </c>
      <c r="G11" s="153">
        <v>467008.31</v>
      </c>
      <c r="H11" s="83">
        <v>235535.37999999995</v>
      </c>
      <c r="I11" s="512">
        <v>0.5043494408054536</v>
      </c>
    </row>
    <row r="12" spans="1:9" ht="12.75">
      <c r="A12" s="190">
        <v>32</v>
      </c>
      <c r="B12" s="181" t="s">
        <v>72</v>
      </c>
      <c r="C12" s="187"/>
      <c r="D12" s="198">
        <v>17467395</v>
      </c>
      <c r="E12" s="180">
        <v>17476162.630000003</v>
      </c>
      <c r="F12" s="199">
        <v>1.0005019426193775</v>
      </c>
      <c r="G12" s="198">
        <v>16406665.200000001</v>
      </c>
      <c r="H12" s="180">
        <v>1069497.4300000016</v>
      </c>
      <c r="I12" s="511">
        <v>0.06518676507155162</v>
      </c>
    </row>
    <row r="13" spans="1:9" ht="12.75">
      <c r="A13" s="190" t="s">
        <v>73</v>
      </c>
      <c r="B13" s="181" t="s">
        <v>74</v>
      </c>
      <c r="C13" s="187"/>
      <c r="D13" s="198">
        <v>39370758</v>
      </c>
      <c r="E13" s="180">
        <v>38944792.230000004</v>
      </c>
      <c r="F13" s="199">
        <v>0.9891806561103041</v>
      </c>
      <c r="G13" s="198">
        <v>37167905.33</v>
      </c>
      <c r="H13" s="180">
        <v>1776886.900000006</v>
      </c>
      <c r="I13" s="511">
        <v>0.04780702286619836</v>
      </c>
    </row>
    <row r="14" spans="1:9" ht="12.75">
      <c r="A14" s="131" t="s">
        <v>75</v>
      </c>
      <c r="B14" s="2"/>
      <c r="C14" s="188" t="s">
        <v>76</v>
      </c>
      <c r="D14" s="153">
        <v>5028291</v>
      </c>
      <c r="E14" s="83">
        <v>5028291</v>
      </c>
      <c r="F14" s="132">
        <v>1</v>
      </c>
      <c r="G14" s="153">
        <v>4918342</v>
      </c>
      <c r="H14" s="83">
        <v>109949</v>
      </c>
      <c r="I14" s="512">
        <v>0.02235489114014438</v>
      </c>
    </row>
    <row r="15" spans="1:9" ht="12.75">
      <c r="A15" s="131" t="s">
        <v>77</v>
      </c>
      <c r="B15" s="2"/>
      <c r="C15" s="189" t="s">
        <v>78</v>
      </c>
      <c r="D15" s="153">
        <v>21727938</v>
      </c>
      <c r="E15" s="83">
        <v>21727938</v>
      </c>
      <c r="F15" s="132">
        <v>1</v>
      </c>
      <c r="G15" s="153">
        <v>21195287</v>
      </c>
      <c r="H15" s="83">
        <v>532651</v>
      </c>
      <c r="I15" s="512">
        <v>0.025130633994245984</v>
      </c>
    </row>
    <row r="16" spans="1:9" ht="12.75">
      <c r="A16" s="131" t="s">
        <v>79</v>
      </c>
      <c r="B16" s="2"/>
      <c r="C16" s="189" t="s">
        <v>80</v>
      </c>
      <c r="D16" s="153">
        <v>12614529</v>
      </c>
      <c r="E16" s="83">
        <v>12188563.23</v>
      </c>
      <c r="F16" s="132">
        <v>0.9662321304267484</v>
      </c>
      <c r="G16" s="153">
        <v>11054276.33</v>
      </c>
      <c r="H16" s="83">
        <v>1134286.9000000004</v>
      </c>
      <c r="I16" s="512">
        <v>0.1026106880394947</v>
      </c>
    </row>
    <row r="17" spans="1:9" ht="12.75">
      <c r="A17" s="190" t="s">
        <v>81</v>
      </c>
      <c r="B17" s="181" t="s">
        <v>82</v>
      </c>
      <c r="C17" s="187"/>
      <c r="D17" s="198">
        <v>2477133</v>
      </c>
      <c r="E17" s="180">
        <v>2519666.87</v>
      </c>
      <c r="F17" s="199">
        <v>1.017170604081412</v>
      </c>
      <c r="G17" s="198">
        <v>787484.97</v>
      </c>
      <c r="H17" s="180">
        <v>1732181.9000000001</v>
      </c>
      <c r="I17" s="511">
        <v>2.1996380451553255</v>
      </c>
    </row>
    <row r="18" spans="1:9" ht="12.75">
      <c r="A18" s="133">
        <v>3818</v>
      </c>
      <c r="B18" s="3"/>
      <c r="C18" s="191" t="s">
        <v>83</v>
      </c>
      <c r="D18" s="154">
        <v>14000</v>
      </c>
      <c r="E18" s="84">
        <v>1001.88</v>
      </c>
      <c r="F18" s="134" t="s">
        <v>84</v>
      </c>
      <c r="G18" s="153">
        <v>4469.16</v>
      </c>
      <c r="H18" s="83">
        <v>-3467.2799999999997</v>
      </c>
      <c r="I18" s="513" t="s">
        <v>84</v>
      </c>
    </row>
    <row r="19" spans="1:9" ht="12.75">
      <c r="A19" s="131">
        <v>382540</v>
      </c>
      <c r="B19" s="2"/>
      <c r="C19" s="188" t="s">
        <v>85</v>
      </c>
      <c r="D19" s="154">
        <v>190000</v>
      </c>
      <c r="E19" s="84">
        <v>177301</v>
      </c>
      <c r="F19" s="132">
        <v>0.9331631578947368</v>
      </c>
      <c r="G19" s="153">
        <v>175988</v>
      </c>
      <c r="H19" s="83">
        <v>1313</v>
      </c>
      <c r="I19" s="512">
        <v>0.00746073595926995</v>
      </c>
    </row>
    <row r="20" spans="1:9" ht="12.75">
      <c r="A20" s="131">
        <v>3882</v>
      </c>
      <c r="B20" s="2"/>
      <c r="C20" s="188" t="s">
        <v>86</v>
      </c>
      <c r="D20" s="154">
        <v>0</v>
      </c>
      <c r="E20" s="84">
        <v>3346</v>
      </c>
      <c r="F20" s="132" t="e">
        <v>#DIV/0!</v>
      </c>
      <c r="G20" s="153">
        <v>5626</v>
      </c>
      <c r="H20" s="83">
        <v>-2280</v>
      </c>
      <c r="I20" s="512">
        <v>-0.40526128688233204</v>
      </c>
    </row>
    <row r="21" spans="1:9" ht="12.75">
      <c r="A21" s="214" t="s">
        <v>87</v>
      </c>
      <c r="B21" s="215"/>
      <c r="C21" s="216" t="s">
        <v>88</v>
      </c>
      <c r="D21" s="217">
        <v>2273133</v>
      </c>
      <c r="E21" s="175">
        <v>2338017.99</v>
      </c>
      <c r="F21" s="218">
        <v>1.028544299871587</v>
      </c>
      <c r="G21" s="219">
        <v>601401.8099999999</v>
      </c>
      <c r="H21" s="175">
        <v>1736616.1800000002</v>
      </c>
      <c r="I21" s="514">
        <v>2.887613823443598</v>
      </c>
    </row>
    <row r="22" spans="1:9" ht="12.75">
      <c r="A22" s="208"/>
      <c r="B22" s="209" t="s">
        <v>89</v>
      </c>
      <c r="C22" s="210"/>
      <c r="D22" s="211">
        <v>-118322241</v>
      </c>
      <c r="E22" s="212">
        <v>-114092350.9</v>
      </c>
      <c r="F22" s="220">
        <v>0.9642510988276499</v>
      </c>
      <c r="G22" s="211">
        <v>-109153592.27</v>
      </c>
      <c r="H22" s="212">
        <v>-4938758.630000014</v>
      </c>
      <c r="I22" s="515">
        <v>0.045245955971688095</v>
      </c>
    </row>
    <row r="23" spans="1:9" ht="12.75">
      <c r="A23" s="190" t="s">
        <v>90</v>
      </c>
      <c r="B23" s="181" t="s">
        <v>91</v>
      </c>
      <c r="C23" s="187"/>
      <c r="D23" s="198">
        <v>-15856042</v>
      </c>
      <c r="E23" s="180">
        <v>-15173990.009999998</v>
      </c>
      <c r="F23" s="200">
        <v>0.9569847260747668</v>
      </c>
      <c r="G23" s="198">
        <v>-14128648.24</v>
      </c>
      <c r="H23" s="180">
        <v>-1045341.7699999977</v>
      </c>
      <c r="I23" s="516">
        <v>0.07398738734541513</v>
      </c>
    </row>
    <row r="24" spans="1:9" ht="12.75">
      <c r="A24" s="190"/>
      <c r="B24" s="181" t="s">
        <v>92</v>
      </c>
      <c r="C24" s="187"/>
      <c r="D24" s="198">
        <v>-102466199</v>
      </c>
      <c r="E24" s="180">
        <v>-98918360.89000002</v>
      </c>
      <c r="F24" s="200">
        <v>0.9653755272994953</v>
      </c>
      <c r="G24" s="198">
        <v>-95024944.03</v>
      </c>
      <c r="H24" s="180">
        <v>-3893416.860000016</v>
      </c>
      <c r="I24" s="516">
        <v>0.040972577250567375</v>
      </c>
    </row>
    <row r="25" spans="1:9" ht="12.75">
      <c r="A25" s="131">
        <v>50</v>
      </c>
      <c r="B25" s="2"/>
      <c r="C25" s="188" t="s">
        <v>288</v>
      </c>
      <c r="D25" s="153">
        <v>-56132539</v>
      </c>
      <c r="E25" s="83">
        <v>-55678885.57000001</v>
      </c>
      <c r="F25" s="132">
        <v>0.9919181736995721</v>
      </c>
      <c r="G25" s="153">
        <v>-52750361.98</v>
      </c>
      <c r="H25" s="83">
        <v>-2928523.590000011</v>
      </c>
      <c r="I25" s="512">
        <v>0.05551665391623937</v>
      </c>
    </row>
    <row r="26" spans="1:9" ht="12.75">
      <c r="A26" s="135">
        <v>500</v>
      </c>
      <c r="B26" s="4"/>
      <c r="C26" s="192" t="s">
        <v>93</v>
      </c>
      <c r="D26" s="155">
        <v>-41830501</v>
      </c>
      <c r="E26" s="85">
        <v>-41501797.75000001</v>
      </c>
      <c r="F26" s="136">
        <v>0.9921420197668683</v>
      </c>
      <c r="G26" s="205">
        <v>-39293706.05</v>
      </c>
      <c r="H26" s="85">
        <v>-2208091.7000000104</v>
      </c>
      <c r="I26" s="517">
        <v>0.056194539074280334</v>
      </c>
    </row>
    <row r="27" spans="1:9" ht="12.75">
      <c r="A27" s="131">
        <v>55</v>
      </c>
      <c r="B27" s="2"/>
      <c r="C27" s="188" t="s">
        <v>94</v>
      </c>
      <c r="D27" s="153">
        <v>-46042703</v>
      </c>
      <c r="E27" s="83">
        <v>-42988669.98000001</v>
      </c>
      <c r="F27" s="132">
        <v>0.9336695541093669</v>
      </c>
      <c r="G27" s="153">
        <v>-42001916.970000006</v>
      </c>
      <c r="H27" s="83">
        <v>-986753.0100000054</v>
      </c>
      <c r="I27" s="512">
        <v>0.023493047012706506</v>
      </c>
    </row>
    <row r="28" spans="1:9" ht="12.75">
      <c r="A28" s="214">
        <v>60</v>
      </c>
      <c r="B28" s="215"/>
      <c r="C28" s="216" t="s">
        <v>95</v>
      </c>
      <c r="D28" s="219">
        <v>-290957</v>
      </c>
      <c r="E28" s="221">
        <v>-250805.34000000003</v>
      </c>
      <c r="F28" s="174">
        <v>0.8620013953951959</v>
      </c>
      <c r="G28" s="219">
        <v>-272665.08</v>
      </c>
      <c r="H28" s="222">
        <v>21859.73999999999</v>
      </c>
      <c r="I28" s="518">
        <v>-0.0801706621177893</v>
      </c>
    </row>
    <row r="29" spans="1:9" ht="12.75">
      <c r="A29" s="160"/>
      <c r="B29" s="161" t="s">
        <v>96</v>
      </c>
      <c r="C29" s="223"/>
      <c r="D29" s="162">
        <v>7819545</v>
      </c>
      <c r="E29" s="164">
        <v>11993435.930000022</v>
      </c>
      <c r="F29" s="163"/>
      <c r="G29" s="162">
        <v>8357245.75</v>
      </c>
      <c r="H29" s="164">
        <v>3636190.1800000183</v>
      </c>
      <c r="I29" s="519">
        <v>0.43509432279169463</v>
      </c>
    </row>
    <row r="30" spans="1:9" ht="12.75">
      <c r="A30" s="224"/>
      <c r="B30" s="225" t="s">
        <v>97</v>
      </c>
      <c r="C30" s="226"/>
      <c r="D30" s="227">
        <v>-16223314</v>
      </c>
      <c r="E30" s="228">
        <v>-13288464.65</v>
      </c>
      <c r="F30" s="220">
        <v>0.8190968041424829</v>
      </c>
      <c r="G30" s="227">
        <v>-14085679.899999997</v>
      </c>
      <c r="H30" s="228">
        <v>797215.2499999953</v>
      </c>
      <c r="I30" s="515">
        <v>-0.05659756970623729</v>
      </c>
    </row>
    <row r="31" spans="1:9" ht="12.75">
      <c r="A31" s="135"/>
      <c r="B31" s="5" t="s">
        <v>98</v>
      </c>
      <c r="C31" s="192"/>
      <c r="D31" s="155">
        <v>8128262</v>
      </c>
      <c r="E31" s="85">
        <v>5266334.09</v>
      </c>
      <c r="F31" s="136">
        <v>0.6479040771569617</v>
      </c>
      <c r="G31" s="155">
        <v>10644533.87</v>
      </c>
      <c r="H31" s="85">
        <v>-5378199.78</v>
      </c>
      <c r="I31" s="517">
        <v>-0.5052546072644514</v>
      </c>
    </row>
    <row r="32" spans="1:9" ht="12.75">
      <c r="A32" s="135"/>
      <c r="B32" s="5" t="s">
        <v>99</v>
      </c>
      <c r="C32" s="192"/>
      <c r="D32" s="155">
        <v>-24351576</v>
      </c>
      <c r="E32" s="85">
        <v>-18554798.740000002</v>
      </c>
      <c r="F32" s="136">
        <v>0.7619547391922397</v>
      </c>
      <c r="G32" s="155">
        <v>-24730213.769999996</v>
      </c>
      <c r="H32" s="85">
        <v>6175415.029999996</v>
      </c>
      <c r="I32" s="517">
        <v>-0.24971134853235022</v>
      </c>
    </row>
    <row r="33" spans="1:9" ht="12.75">
      <c r="A33" s="131">
        <v>381</v>
      </c>
      <c r="B33" s="2"/>
      <c r="C33" s="188" t="s">
        <v>100</v>
      </c>
      <c r="D33" s="153">
        <v>1081661</v>
      </c>
      <c r="E33" s="83">
        <v>958849.8200000001</v>
      </c>
      <c r="F33" s="132">
        <v>0.8864605638920143</v>
      </c>
      <c r="G33" s="153">
        <v>800725.8700000001</v>
      </c>
      <c r="H33" s="83">
        <v>158123.94999999995</v>
      </c>
      <c r="I33" s="512">
        <v>0.19747576033730488</v>
      </c>
    </row>
    <row r="34" spans="1:9" ht="12.75">
      <c r="A34" s="131">
        <v>15</v>
      </c>
      <c r="B34" s="2"/>
      <c r="C34" s="188" t="s">
        <v>101</v>
      </c>
      <c r="D34" s="153">
        <v>-21870734</v>
      </c>
      <c r="E34" s="83">
        <v>-16891929.970000003</v>
      </c>
      <c r="F34" s="132">
        <v>0.7723531350159534</v>
      </c>
      <c r="G34" s="153">
        <v>-22794392.58</v>
      </c>
      <c r="H34" s="83">
        <v>5902462.609999996</v>
      </c>
      <c r="I34" s="512">
        <v>-0.2589436234935634</v>
      </c>
    </row>
    <row r="35" spans="1:9" ht="12.75">
      <c r="A35" s="131">
        <v>3502</v>
      </c>
      <c r="B35" s="2"/>
      <c r="C35" s="188" t="s">
        <v>102</v>
      </c>
      <c r="D35" s="153">
        <v>6651601</v>
      </c>
      <c r="E35" s="83">
        <v>3919188.8899999997</v>
      </c>
      <c r="F35" s="132">
        <v>0.5892098594007668</v>
      </c>
      <c r="G35" s="153">
        <v>9834303.74</v>
      </c>
      <c r="H35" s="83">
        <v>-5915114.850000001</v>
      </c>
      <c r="I35" s="512">
        <v>-0.6014777463035731</v>
      </c>
    </row>
    <row r="36" spans="1:9" ht="12.75">
      <c r="A36" s="131">
        <v>4502</v>
      </c>
      <c r="B36" s="2"/>
      <c r="C36" s="188" t="s">
        <v>103</v>
      </c>
      <c r="D36" s="153">
        <v>-1842397</v>
      </c>
      <c r="E36" s="83">
        <v>-1126458.88</v>
      </c>
      <c r="F36" s="132">
        <v>0.6114094193596711</v>
      </c>
      <c r="G36" s="153">
        <v>-1296718.31</v>
      </c>
      <c r="H36" s="83">
        <v>170259.43000000017</v>
      </c>
      <c r="I36" s="512">
        <v>-0.13130024361266263</v>
      </c>
    </row>
    <row r="37" spans="1:9" ht="12.75">
      <c r="A37" s="137" t="s">
        <v>284</v>
      </c>
      <c r="B37" s="6"/>
      <c r="C37" s="188" t="s">
        <v>285</v>
      </c>
      <c r="D37" s="153">
        <v>380000</v>
      </c>
      <c r="E37" s="83">
        <v>380000</v>
      </c>
      <c r="F37" s="132">
        <v>1</v>
      </c>
      <c r="G37" s="153">
        <v>0</v>
      </c>
      <c r="H37" s="83">
        <v>380000</v>
      </c>
      <c r="I37" s="513" t="s">
        <v>84</v>
      </c>
    </row>
    <row r="38" spans="1:9" ht="12.75">
      <c r="A38" s="137" t="s">
        <v>286</v>
      </c>
      <c r="B38" s="6"/>
      <c r="C38" s="188" t="s">
        <v>287</v>
      </c>
      <c r="D38" s="153">
        <v>0</v>
      </c>
      <c r="E38" s="83">
        <v>0</v>
      </c>
      <c r="F38" s="134" t="s">
        <v>84</v>
      </c>
      <c r="G38" s="153">
        <v>0</v>
      </c>
      <c r="H38" s="83">
        <v>0</v>
      </c>
      <c r="I38" s="513" t="s">
        <v>84</v>
      </c>
    </row>
    <row r="39" spans="1:9" ht="12.75">
      <c r="A39" s="138">
        <v>382</v>
      </c>
      <c r="B39" s="6"/>
      <c r="C39" s="188" t="s">
        <v>104</v>
      </c>
      <c r="D39" s="153">
        <v>15000</v>
      </c>
      <c r="E39" s="83">
        <v>8295.380000000001</v>
      </c>
      <c r="F39" s="132">
        <v>0.5530253333333334</v>
      </c>
      <c r="G39" s="153">
        <v>9504.26</v>
      </c>
      <c r="H39" s="83">
        <v>-1208.8799999999992</v>
      </c>
      <c r="I39" s="512">
        <v>-0.12719349007708114</v>
      </c>
    </row>
    <row r="40" spans="1:9" ht="12.75">
      <c r="A40" s="214">
        <v>65</v>
      </c>
      <c r="B40" s="215"/>
      <c r="C40" s="216" t="s">
        <v>105</v>
      </c>
      <c r="D40" s="219">
        <v>-638445</v>
      </c>
      <c r="E40" s="221">
        <v>-536409.89</v>
      </c>
      <c r="F40" s="174">
        <v>0.8401818324209603</v>
      </c>
      <c r="G40" s="219">
        <v>-639102.88</v>
      </c>
      <c r="H40" s="222">
        <v>102692.98999999999</v>
      </c>
      <c r="I40" s="518">
        <v>-0.16068303431835573</v>
      </c>
    </row>
    <row r="41" spans="1:9" ht="12.75">
      <c r="A41" s="167"/>
      <c r="B41" s="168" t="s">
        <v>106</v>
      </c>
      <c r="C41" s="229"/>
      <c r="D41" s="162">
        <v>-8403769</v>
      </c>
      <c r="E41" s="164">
        <v>-1295028.7199999783</v>
      </c>
      <c r="F41" s="163">
        <v>0.15410094208919572</v>
      </c>
      <c r="G41" s="162">
        <v>-5728434.149999997</v>
      </c>
      <c r="H41" s="164">
        <v>4433405.430000014</v>
      </c>
      <c r="I41" s="519">
        <v>-0.7739297186474625</v>
      </c>
    </row>
    <row r="42" spans="1:9" ht="12.75">
      <c r="A42" s="230"/>
      <c r="B42" s="225" t="s">
        <v>107</v>
      </c>
      <c r="C42" s="226"/>
      <c r="D42" s="227">
        <v>3364190</v>
      </c>
      <c r="E42" s="228">
        <v>3381731.12</v>
      </c>
      <c r="F42" s="220">
        <v>1.0052140693599352</v>
      </c>
      <c r="G42" s="227">
        <v>2943619.6800000006</v>
      </c>
      <c r="H42" s="228">
        <v>438111.4399999995</v>
      </c>
      <c r="I42" s="515">
        <v>0.14883425429469863</v>
      </c>
    </row>
    <row r="43" spans="1:9" ht="12.75">
      <c r="A43" s="137" t="s">
        <v>108</v>
      </c>
      <c r="B43" s="130"/>
      <c r="C43" s="193" t="s">
        <v>109</v>
      </c>
      <c r="D43" s="153">
        <v>11687130</v>
      </c>
      <c r="E43" s="83">
        <v>11687000</v>
      </c>
      <c r="F43" s="132">
        <v>0.9999888766532075</v>
      </c>
      <c r="G43" s="153">
        <v>10885000</v>
      </c>
      <c r="H43" s="83">
        <v>802000</v>
      </c>
      <c r="I43" s="513" t="s">
        <v>84</v>
      </c>
    </row>
    <row r="44" spans="1:9" ht="12.75">
      <c r="A44" s="139" t="s">
        <v>110</v>
      </c>
      <c r="B44" s="7"/>
      <c r="C44" s="194" t="s">
        <v>111</v>
      </c>
      <c r="D44" s="155">
        <v>11687130</v>
      </c>
      <c r="E44" s="85">
        <v>11687000</v>
      </c>
      <c r="F44" s="140" t="s">
        <v>84</v>
      </c>
      <c r="G44" s="155">
        <v>10885000</v>
      </c>
      <c r="H44" s="85">
        <v>802000</v>
      </c>
      <c r="I44" s="520" t="s">
        <v>84</v>
      </c>
    </row>
    <row r="45" spans="1:9" ht="12.75">
      <c r="A45" s="139" t="s">
        <v>112</v>
      </c>
      <c r="B45" s="7"/>
      <c r="C45" s="194" t="s">
        <v>113</v>
      </c>
      <c r="D45" s="155">
        <v>0</v>
      </c>
      <c r="E45" s="85">
        <v>0</v>
      </c>
      <c r="F45" s="140" t="s">
        <v>84</v>
      </c>
      <c r="G45" s="155">
        <v>0</v>
      </c>
      <c r="H45" s="85">
        <v>0</v>
      </c>
      <c r="I45" s="520" t="s">
        <v>84</v>
      </c>
    </row>
    <row r="46" spans="1:9" ht="12.75">
      <c r="A46" s="139" t="s">
        <v>114</v>
      </c>
      <c r="B46" s="7"/>
      <c r="C46" s="194" t="s">
        <v>115</v>
      </c>
      <c r="D46" s="155">
        <v>0</v>
      </c>
      <c r="E46" s="85">
        <v>0</v>
      </c>
      <c r="F46" s="140" t="s">
        <v>84</v>
      </c>
      <c r="G46" s="155">
        <v>0</v>
      </c>
      <c r="H46" s="85">
        <v>0</v>
      </c>
      <c r="I46" s="520" t="s">
        <v>84</v>
      </c>
    </row>
    <row r="47" spans="1:9" ht="12.75">
      <c r="A47" s="137" t="s">
        <v>116</v>
      </c>
      <c r="B47" s="130"/>
      <c r="C47" s="193" t="s">
        <v>117</v>
      </c>
      <c r="D47" s="153">
        <v>-8322940</v>
      </c>
      <c r="E47" s="83">
        <v>-8305268.88</v>
      </c>
      <c r="F47" s="132">
        <v>0.9978768175668694</v>
      </c>
      <c r="G47" s="153">
        <v>-7941380.319999999</v>
      </c>
      <c r="H47" s="83">
        <v>-363888.5600000005</v>
      </c>
      <c r="I47" s="512">
        <v>0.04582182760893141</v>
      </c>
    </row>
    <row r="48" spans="1:9" ht="12.75">
      <c r="A48" s="139" t="s">
        <v>118</v>
      </c>
      <c r="B48" s="7"/>
      <c r="C48" s="194" t="s">
        <v>274</v>
      </c>
      <c r="D48" s="155">
        <v>-7987130</v>
      </c>
      <c r="E48" s="85">
        <v>-7987129.83</v>
      </c>
      <c r="F48" s="140" t="s">
        <v>84</v>
      </c>
      <c r="G48" s="155">
        <v>-7612792.81</v>
      </c>
      <c r="H48" s="85">
        <v>-374337.0200000005</v>
      </c>
      <c r="I48" s="520" t="s">
        <v>84</v>
      </c>
    </row>
    <row r="49" spans="1:9" ht="12.75">
      <c r="A49" s="139" t="s">
        <v>119</v>
      </c>
      <c r="B49" s="7"/>
      <c r="C49" s="194" t="s">
        <v>275</v>
      </c>
      <c r="D49" s="155">
        <v>0</v>
      </c>
      <c r="E49" s="85">
        <v>0</v>
      </c>
      <c r="F49" s="140" t="s">
        <v>84</v>
      </c>
      <c r="G49" s="155">
        <v>0</v>
      </c>
      <c r="H49" s="85">
        <v>0</v>
      </c>
      <c r="I49" s="520" t="s">
        <v>84</v>
      </c>
    </row>
    <row r="50" spans="1:9" ht="12.75">
      <c r="A50" s="231" t="s">
        <v>120</v>
      </c>
      <c r="B50" s="232"/>
      <c r="C50" s="233" t="s">
        <v>276</v>
      </c>
      <c r="D50" s="234">
        <v>-335810</v>
      </c>
      <c r="E50" s="235">
        <v>-318139.05</v>
      </c>
      <c r="F50" s="236">
        <v>0.9473781304904558</v>
      </c>
      <c r="G50" s="234">
        <v>-328587.51</v>
      </c>
      <c r="H50" s="235">
        <v>10448.460000000021</v>
      </c>
      <c r="I50" s="521">
        <v>-0.03179810455972602</v>
      </c>
    </row>
    <row r="51" spans="1:9" ht="12.75">
      <c r="A51" s="165">
        <v>1001</v>
      </c>
      <c r="B51" s="152" t="s">
        <v>121</v>
      </c>
      <c r="C51" s="237"/>
      <c r="D51" s="169">
        <v>-5039579</v>
      </c>
      <c r="E51" s="170">
        <v>2086702.4000000218</v>
      </c>
      <c r="F51" s="159"/>
      <c r="G51" s="169">
        <v>-2784814.469999996</v>
      </c>
      <c r="H51" s="166">
        <v>4871516.870000018</v>
      </c>
      <c r="I51" s="522"/>
    </row>
    <row r="52" spans="1:10" ht="12.75">
      <c r="A52" s="138"/>
      <c r="B52" s="6"/>
      <c r="C52" s="195"/>
      <c r="D52" s="201"/>
      <c r="E52" s="171"/>
      <c r="F52" s="202"/>
      <c r="G52" s="206"/>
      <c r="H52" s="86"/>
      <c r="I52" s="523"/>
      <c r="J52" s="173"/>
    </row>
    <row r="53" spans="1:9" ht="12.75">
      <c r="A53" s="143"/>
      <c r="B53" s="495" t="s">
        <v>122</v>
      </c>
      <c r="C53" s="496"/>
      <c r="D53" s="156">
        <v>119174819</v>
      </c>
      <c r="E53" s="10">
        <v>114057984.71</v>
      </c>
      <c r="F53" s="144">
        <v>0.9570644677043729</v>
      </c>
      <c r="G53" s="207">
        <v>107963606.79000005</v>
      </c>
      <c r="H53" s="10">
        <v>6094377.919999961</v>
      </c>
      <c r="I53" s="524">
        <v>0.05644844685352289</v>
      </c>
    </row>
    <row r="54" spans="1:9" ht="12.75">
      <c r="A54" s="141" t="s">
        <v>123</v>
      </c>
      <c r="B54" s="8" t="s">
        <v>7</v>
      </c>
      <c r="C54" s="172"/>
      <c r="D54" s="157">
        <v>8651416</v>
      </c>
      <c r="E54" s="9">
        <v>8410686.740000002</v>
      </c>
      <c r="F54" s="142">
        <v>0.9721745827503847</v>
      </c>
      <c r="G54" s="157">
        <v>7826218.780000001</v>
      </c>
      <c r="H54" s="9">
        <v>584467.9600000009</v>
      </c>
      <c r="I54" s="525">
        <v>0.07468075918010572</v>
      </c>
    </row>
    <row r="55" spans="1:9" ht="12.75">
      <c r="A55" s="141" t="s">
        <v>124</v>
      </c>
      <c r="B55" s="8" t="s">
        <v>125</v>
      </c>
      <c r="C55" s="196"/>
      <c r="D55" s="157">
        <v>478787</v>
      </c>
      <c r="E55" s="9">
        <v>471625.89</v>
      </c>
      <c r="F55" s="142">
        <v>0.9850432238135121</v>
      </c>
      <c r="G55" s="157">
        <v>397728.36</v>
      </c>
      <c r="H55" s="9">
        <v>73897.53000000003</v>
      </c>
      <c r="I55" s="525">
        <v>0.18579899607863024</v>
      </c>
    </row>
    <row r="56" spans="1:9" ht="12.75">
      <c r="A56" s="141" t="s">
        <v>126</v>
      </c>
      <c r="B56" s="8" t="s">
        <v>17</v>
      </c>
      <c r="C56" s="196"/>
      <c r="D56" s="157">
        <v>14799426</v>
      </c>
      <c r="E56" s="9">
        <v>12962897.960000003</v>
      </c>
      <c r="F56" s="142">
        <v>0.8759054547115546</v>
      </c>
      <c r="G56" s="157">
        <v>12028430.580000004</v>
      </c>
      <c r="H56" s="9">
        <v>934467.379999999</v>
      </c>
      <c r="I56" s="525">
        <v>0.07768822156680716</v>
      </c>
    </row>
    <row r="57" spans="1:9" ht="12.75">
      <c r="A57" s="141" t="s">
        <v>127</v>
      </c>
      <c r="B57" s="8" t="s">
        <v>28</v>
      </c>
      <c r="C57" s="196"/>
      <c r="D57" s="157">
        <v>5320223</v>
      </c>
      <c r="E57" s="9">
        <v>5257424.22</v>
      </c>
      <c r="F57" s="142">
        <v>0.9881962128279209</v>
      </c>
      <c r="G57" s="157">
        <v>4755648.300000001</v>
      </c>
      <c r="H57" s="9">
        <v>501775.919999999</v>
      </c>
      <c r="I57" s="525">
        <v>0.10551157031523944</v>
      </c>
    </row>
    <row r="58" spans="1:9" ht="12.75">
      <c r="A58" s="141" t="s">
        <v>128</v>
      </c>
      <c r="B58" s="8" t="s">
        <v>129</v>
      </c>
      <c r="C58" s="196"/>
      <c r="D58" s="157">
        <v>2265109</v>
      </c>
      <c r="E58" s="9">
        <v>2181540.2300000004</v>
      </c>
      <c r="F58" s="142">
        <v>0.9631060712751573</v>
      </c>
      <c r="G58" s="157">
        <v>2200234.65</v>
      </c>
      <c r="H58" s="9">
        <v>-18694.41999999946</v>
      </c>
      <c r="I58" s="525">
        <v>-0.008496557401275114</v>
      </c>
    </row>
    <row r="59" spans="1:9" ht="12.75">
      <c r="A59" s="141" t="s">
        <v>130</v>
      </c>
      <c r="B59" s="8" t="s">
        <v>131</v>
      </c>
      <c r="C59" s="196"/>
      <c r="D59" s="157">
        <v>480634</v>
      </c>
      <c r="E59" s="9">
        <v>435607.63</v>
      </c>
      <c r="F59" s="142">
        <v>0.9063187997519943</v>
      </c>
      <c r="G59" s="157">
        <v>352742.37</v>
      </c>
      <c r="H59" s="9">
        <v>82865.26000000001</v>
      </c>
      <c r="I59" s="525">
        <v>0.2349172286844929</v>
      </c>
    </row>
    <row r="60" spans="1:9" ht="12.75">
      <c r="A60" s="141" t="s">
        <v>132</v>
      </c>
      <c r="B60" s="8" t="s">
        <v>133</v>
      </c>
      <c r="C60" s="196"/>
      <c r="D60" s="157">
        <v>10206819</v>
      </c>
      <c r="E60" s="9">
        <v>10011012.630000003</v>
      </c>
      <c r="F60" s="142">
        <v>0.9808161220454681</v>
      </c>
      <c r="G60" s="157">
        <v>9540597.000000002</v>
      </c>
      <c r="H60" s="9">
        <v>470415.6300000008</v>
      </c>
      <c r="I60" s="525">
        <v>0.049306728918536304</v>
      </c>
    </row>
    <row r="61" spans="1:9" ht="12.75">
      <c r="A61" s="141" t="s">
        <v>134</v>
      </c>
      <c r="B61" s="8" t="s">
        <v>44</v>
      </c>
      <c r="C61" s="196"/>
      <c r="D61" s="157">
        <v>66452527</v>
      </c>
      <c r="E61" s="9">
        <v>64613730.279999994</v>
      </c>
      <c r="F61" s="142">
        <v>0.9723291678584322</v>
      </c>
      <c r="G61" s="157">
        <v>61867343.73000003</v>
      </c>
      <c r="H61" s="9">
        <v>2746386.549999967</v>
      </c>
      <c r="I61" s="525">
        <v>0.04439153815922147</v>
      </c>
    </row>
    <row r="62" spans="1:9" ht="12.75">
      <c r="A62" s="141" t="s">
        <v>135</v>
      </c>
      <c r="B62" s="8" t="s">
        <v>54</v>
      </c>
      <c r="C62" s="196"/>
      <c r="D62" s="157">
        <v>10519878</v>
      </c>
      <c r="E62" s="9">
        <v>9713459.129999997</v>
      </c>
      <c r="F62" s="142">
        <v>0.9233433248940717</v>
      </c>
      <c r="G62" s="157">
        <v>8994663.020000003</v>
      </c>
      <c r="H62" s="9">
        <v>718796.1099999938</v>
      </c>
      <c r="I62" s="525">
        <v>0.07991362304532378</v>
      </c>
    </row>
    <row r="63" spans="1:9" ht="12.75">
      <c r="A63" s="143"/>
      <c r="B63" s="495" t="s">
        <v>136</v>
      </c>
      <c r="C63" s="496"/>
      <c r="D63" s="156">
        <v>23498998</v>
      </c>
      <c r="E63" s="10">
        <v>18589164.930000003</v>
      </c>
      <c r="F63" s="144">
        <v>0.7910620244318504</v>
      </c>
      <c r="G63" s="207">
        <v>25920199.25</v>
      </c>
      <c r="H63" s="10">
        <v>-7331034.319999999</v>
      </c>
      <c r="I63" s="524">
        <v>-0.2828309400437961</v>
      </c>
    </row>
    <row r="64" spans="1:9" ht="12.75">
      <c r="A64" s="141" t="s">
        <v>123</v>
      </c>
      <c r="B64" s="8" t="s">
        <v>7</v>
      </c>
      <c r="C64" s="172"/>
      <c r="D64" s="157">
        <v>918927</v>
      </c>
      <c r="E64" s="9">
        <v>817847.65</v>
      </c>
      <c r="F64" s="145" t="s">
        <v>84</v>
      </c>
      <c r="G64" s="157">
        <v>827240.7500000001</v>
      </c>
      <c r="H64" s="9">
        <v>-9393.100000000093</v>
      </c>
      <c r="I64" s="526" t="s">
        <v>84</v>
      </c>
    </row>
    <row r="65" spans="1:9" ht="12.75">
      <c r="A65" s="141" t="s">
        <v>124</v>
      </c>
      <c r="B65" s="8" t="s">
        <v>125</v>
      </c>
      <c r="C65" s="196"/>
      <c r="D65" s="157">
        <v>0</v>
      </c>
      <c r="E65" s="9">
        <v>0</v>
      </c>
      <c r="F65" s="145" t="s">
        <v>84</v>
      </c>
      <c r="G65" s="157">
        <v>5500</v>
      </c>
      <c r="H65" s="9">
        <v>-5500</v>
      </c>
      <c r="I65" s="526" t="s">
        <v>84</v>
      </c>
    </row>
    <row r="66" spans="1:9" ht="12.75">
      <c r="A66" s="141" t="s">
        <v>126</v>
      </c>
      <c r="B66" s="8" t="s">
        <v>17</v>
      </c>
      <c r="C66" s="196"/>
      <c r="D66" s="157">
        <v>9815471</v>
      </c>
      <c r="E66" s="9">
        <v>7437970.3100000005</v>
      </c>
      <c r="F66" s="142">
        <v>0.7577802746297148</v>
      </c>
      <c r="G66" s="157">
        <v>10141990.500000002</v>
      </c>
      <c r="H66" s="9">
        <v>-2704020.1900000013</v>
      </c>
      <c r="I66" s="525">
        <v>-0.26661632053392287</v>
      </c>
    </row>
    <row r="67" spans="1:9" ht="12.75">
      <c r="A67" s="141" t="s">
        <v>127</v>
      </c>
      <c r="B67" s="8" t="s">
        <v>28</v>
      </c>
      <c r="C67" s="196"/>
      <c r="D67" s="157">
        <v>470866</v>
      </c>
      <c r="E67" s="9">
        <v>374762</v>
      </c>
      <c r="F67" s="142">
        <v>0.7958994703376332</v>
      </c>
      <c r="G67" s="157">
        <v>676476.94</v>
      </c>
      <c r="H67" s="9">
        <v>-301714.93999999994</v>
      </c>
      <c r="I67" s="525">
        <v>-0.4460092017327301</v>
      </c>
    </row>
    <row r="68" spans="1:9" ht="12.75">
      <c r="A68" s="141" t="s">
        <v>128</v>
      </c>
      <c r="B68" s="8" t="s">
        <v>129</v>
      </c>
      <c r="C68" s="196"/>
      <c r="D68" s="157">
        <v>904028</v>
      </c>
      <c r="E68" s="9">
        <v>673164.07</v>
      </c>
      <c r="F68" s="145" t="s">
        <v>84</v>
      </c>
      <c r="G68" s="157">
        <v>531927.14</v>
      </c>
      <c r="H68" s="9">
        <v>141236.92999999993</v>
      </c>
      <c r="I68" s="525">
        <v>0.26551931529569994</v>
      </c>
    </row>
    <row r="69" spans="1:9" ht="12.75">
      <c r="A69" s="141" t="s">
        <v>130</v>
      </c>
      <c r="B69" s="8" t="s">
        <v>131</v>
      </c>
      <c r="C69" s="196"/>
      <c r="D69" s="157">
        <v>0</v>
      </c>
      <c r="E69" s="9">
        <v>0</v>
      </c>
      <c r="F69" s="145" t="s">
        <v>84</v>
      </c>
      <c r="G69" s="157">
        <v>0</v>
      </c>
      <c r="H69" s="9">
        <v>0</v>
      </c>
      <c r="I69" s="526" t="s">
        <v>84</v>
      </c>
    </row>
    <row r="70" spans="1:9" ht="12.75">
      <c r="A70" s="141" t="s">
        <v>132</v>
      </c>
      <c r="B70" s="8" t="s">
        <v>133</v>
      </c>
      <c r="C70" s="196"/>
      <c r="D70" s="157">
        <v>2092008</v>
      </c>
      <c r="E70" s="9">
        <v>1915650.2199999997</v>
      </c>
      <c r="F70" s="142">
        <v>0.9156992803086794</v>
      </c>
      <c r="G70" s="157">
        <v>1397851.28</v>
      </c>
      <c r="H70" s="9">
        <v>517798.9399999997</v>
      </c>
      <c r="I70" s="525">
        <v>0.3704249138720964</v>
      </c>
    </row>
    <row r="71" spans="1:9" ht="12.75">
      <c r="A71" s="141" t="s">
        <v>134</v>
      </c>
      <c r="B71" s="8" t="s">
        <v>44</v>
      </c>
      <c r="C71" s="196"/>
      <c r="D71" s="157">
        <v>9077335</v>
      </c>
      <c r="E71" s="9">
        <v>7171982.130000002</v>
      </c>
      <c r="F71" s="142">
        <v>0.7900977687834592</v>
      </c>
      <c r="G71" s="157">
        <v>11796776.62</v>
      </c>
      <c r="H71" s="9">
        <v>-4624794.489999997</v>
      </c>
      <c r="I71" s="525">
        <v>-0.3920388288237332</v>
      </c>
    </row>
    <row r="72" spans="1:9" ht="12.75">
      <c r="A72" s="146" t="s">
        <v>135</v>
      </c>
      <c r="B72" s="147" t="s">
        <v>54</v>
      </c>
      <c r="C72" s="197"/>
      <c r="D72" s="158">
        <v>220363</v>
      </c>
      <c r="E72" s="148">
        <v>197788.55</v>
      </c>
      <c r="F72" s="149">
        <v>0.8975578931127276</v>
      </c>
      <c r="G72" s="158">
        <v>542436.02</v>
      </c>
      <c r="H72" s="148">
        <v>-344647.47000000003</v>
      </c>
      <c r="I72" s="527">
        <v>-0.6353698082218066</v>
      </c>
    </row>
    <row r="73" ht="12.75">
      <c r="F73" s="125"/>
    </row>
    <row r="74" spans="4:9" ht="12.75">
      <c r="D74" s="100"/>
      <c r="E74" s="100"/>
      <c r="F74" s="101"/>
      <c r="G74" s="100"/>
      <c r="H74" s="100"/>
      <c r="I74" s="101"/>
    </row>
  </sheetData>
  <sheetProtection/>
  <mergeCells count="7">
    <mergeCell ref="B63:C63"/>
    <mergeCell ref="A2:F2"/>
    <mergeCell ref="D3:D4"/>
    <mergeCell ref="E3:E4"/>
    <mergeCell ref="F3:F4"/>
    <mergeCell ref="H3:I3"/>
    <mergeCell ref="B53:C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0"/>
  <sheetViews>
    <sheetView showGridLines="0" showZeros="0" tabSelected="1" workbookViewId="0" topLeftCell="A1">
      <selection activeCell="H227" sqref="H227"/>
    </sheetView>
  </sheetViews>
  <sheetFormatPr defaultColWidth="9.140625" defaultRowHeight="15"/>
  <cols>
    <col min="1" max="2" width="0.85546875" style="12" customWidth="1"/>
    <col min="3" max="3" width="5.421875" style="12" customWidth="1"/>
    <col min="4" max="4" width="47.8515625" style="80" customWidth="1"/>
    <col min="5" max="5" width="6.28125" style="81" customWidth="1"/>
    <col min="6" max="6" width="12.7109375" style="81" hidden="1" customWidth="1"/>
    <col min="7" max="7" width="11.28125" style="82" customWidth="1"/>
    <col min="8" max="8" width="12.00390625" style="82" customWidth="1"/>
    <col min="9" max="9" width="12.140625" style="82" hidden="1" customWidth="1"/>
    <col min="10" max="10" width="8.7109375" style="79" customWidth="1"/>
    <col min="11" max="11" width="0.13671875" style="12" hidden="1" customWidth="1"/>
    <col min="12" max="12" width="10.140625" style="14" bestFit="1" customWidth="1"/>
    <col min="13" max="13" width="10.140625" style="15" bestFit="1" customWidth="1"/>
    <col min="14" max="14" width="12.7109375" style="15" customWidth="1"/>
    <col min="15" max="15" width="10.140625" style="15" customWidth="1"/>
    <col min="16" max="16" width="11.7109375" style="15" customWidth="1"/>
    <col min="17" max="16384" width="9.140625" style="15" customWidth="1"/>
  </cols>
  <sheetData>
    <row r="1" spans="4:10" ht="15">
      <c r="D1" s="506" t="s">
        <v>140</v>
      </c>
      <c r="E1" s="506"/>
      <c r="F1" s="506"/>
      <c r="G1" s="506"/>
      <c r="H1" s="506"/>
      <c r="I1" s="506"/>
      <c r="J1" s="506"/>
    </row>
    <row r="2" spans="4:10" ht="15">
      <c r="D2" s="13"/>
      <c r="E2" s="13"/>
      <c r="F2" s="13"/>
      <c r="G2" s="13"/>
      <c r="H2" s="13"/>
      <c r="I2" s="13" t="s">
        <v>64</v>
      </c>
      <c r="J2" s="16"/>
    </row>
    <row r="3" spans="4:10" ht="15">
      <c r="D3" s="13" t="s">
        <v>385</v>
      </c>
      <c r="E3" s="13"/>
      <c r="F3" s="13"/>
      <c r="G3" s="13"/>
      <c r="H3" s="13"/>
      <c r="I3" s="13"/>
      <c r="J3" s="16"/>
    </row>
    <row r="4" spans="4:10" ht="15">
      <c r="D4" s="17"/>
      <c r="E4" s="18"/>
      <c r="F4" s="18" t="s">
        <v>141</v>
      </c>
      <c r="G4" s="19" t="s">
        <v>290</v>
      </c>
      <c r="H4" s="19" t="s">
        <v>142</v>
      </c>
      <c r="I4" s="19" t="s">
        <v>386</v>
      </c>
      <c r="J4" s="20" t="s">
        <v>59</v>
      </c>
    </row>
    <row r="5" spans="1:16" s="25" customFormat="1" ht="27" customHeight="1">
      <c r="A5" s="102"/>
      <c r="B5" s="21"/>
      <c r="C5" s="22"/>
      <c r="D5" s="238" t="s">
        <v>143</v>
      </c>
      <c r="E5" s="239"/>
      <c r="F5" s="240">
        <f>SUM(F6,F8,F9)</f>
        <v>28388919</v>
      </c>
      <c r="G5" s="241">
        <f>SUM(G6,G8,G9)</f>
        <v>23498998</v>
      </c>
      <c r="H5" s="241">
        <f>SUM(H6,H8,H9)</f>
        <v>18589164.93</v>
      </c>
      <c r="I5" s="241">
        <f>SUM(I6,I8,I9)</f>
        <v>2836339.859999999</v>
      </c>
      <c r="J5" s="242">
        <f>ROUND(H5/G5*100,1)</f>
        <v>79.1</v>
      </c>
      <c r="K5" s="23"/>
      <c r="L5" s="24"/>
      <c r="M5" s="87"/>
      <c r="N5" s="87"/>
      <c r="O5" s="87"/>
      <c r="P5" s="87"/>
    </row>
    <row r="6" spans="1:11" ht="16.5" customHeight="1">
      <c r="A6" s="103"/>
      <c r="D6" s="243" t="s">
        <v>0</v>
      </c>
      <c r="E6" s="244" t="s">
        <v>1</v>
      </c>
      <c r="F6" s="245">
        <f>SUMIF($E10:$E391,$E6,F10:F391)</f>
        <v>26734802</v>
      </c>
      <c r="G6" s="245">
        <f>SUMIF($E11:$E391,$E6,G11:G391)</f>
        <v>21732633</v>
      </c>
      <c r="H6" s="245">
        <f>SUMIF($E11:$E298,$E6,H11:H298)</f>
        <v>16941296.16</v>
      </c>
      <c r="I6" s="245">
        <f>SUMIF($E11:$E298,$E6,I11:I298)</f>
        <v>2804313.999999999</v>
      </c>
      <c r="J6" s="246">
        <f>ROUND(H6/G6*100,1)</f>
        <v>78</v>
      </c>
      <c r="K6" s="26"/>
    </row>
    <row r="7" spans="1:14" ht="16.5" customHeight="1">
      <c r="A7" s="103"/>
      <c r="D7" s="243" t="s">
        <v>144</v>
      </c>
      <c r="E7" s="244" t="s">
        <v>1</v>
      </c>
      <c r="F7" s="247">
        <f>SUM(F29,F31,F34,F72,F74,F76,F125,F227,F229,F270,F135,F282)</f>
        <v>11881418</v>
      </c>
      <c r="G7" s="464">
        <f>SUM(G29,G31,G34,G72,G74,G76,G125,G135,G212,G227,G229,G237,G267,G274,G282,G293,G117,G269,G97,G213,G261,G262)</f>
        <v>4971822</v>
      </c>
      <c r="H7" s="464">
        <f>SUM(H29,H31,H34,H72,H74,H76,H125,H135,H212,H227,H229,H237,H267,H274,H282,H293,H117,H269,H97,H213,H261,H262)</f>
        <v>2698271.25</v>
      </c>
      <c r="I7" s="464">
        <f>SUM(I29,I31,I34,I72,I74,I76,I125,I135,I212,I227,I229,I237,I267,I274,I282,I293,I117,I269,I97,I213,I261,I262)</f>
        <v>1004750.6300000001</v>
      </c>
      <c r="J7" s="465">
        <f>ROUND(H7/G7*100,1)</f>
        <v>54.3</v>
      </c>
      <c r="K7" s="26"/>
      <c r="L7" s="118"/>
      <c r="M7" s="118"/>
      <c r="N7" s="118"/>
    </row>
    <row r="8" spans="1:17" ht="30">
      <c r="A8" s="103"/>
      <c r="D8" s="249" t="s">
        <v>2</v>
      </c>
      <c r="E8" s="250" t="s">
        <v>3</v>
      </c>
      <c r="F8" s="245">
        <f>SUMIF($E12:$E393,$E8,F12:F393)</f>
        <v>900295</v>
      </c>
      <c r="G8" s="245">
        <f>SUMIF($E13:$E393,$E8,G13:G393)</f>
        <v>1127920</v>
      </c>
      <c r="H8" s="245">
        <f>SUMIF($E13:$E393,$E8,H13:H393)</f>
        <v>1111458.88</v>
      </c>
      <c r="I8" s="245">
        <f>SUMIF($E13:$E393,$E8,I13:I393)</f>
        <v>22791</v>
      </c>
      <c r="J8" s="251">
        <f>ROUND(H8/G8*100,1)</f>
        <v>98.5</v>
      </c>
      <c r="K8" s="26"/>
      <c r="N8" s="88"/>
      <c r="O8" s="88"/>
      <c r="P8" s="88"/>
      <c r="Q8" s="88"/>
    </row>
    <row r="9" spans="1:12" s="25" customFormat="1" ht="16.5" customHeight="1">
      <c r="A9" s="104"/>
      <c r="B9" s="27"/>
      <c r="C9" s="27"/>
      <c r="D9" s="252" t="s">
        <v>4</v>
      </c>
      <c r="E9" s="253" t="s">
        <v>5</v>
      </c>
      <c r="F9" s="254">
        <f>SUMIF($E11:$E276,$E9,F11:F276)</f>
        <v>753822</v>
      </c>
      <c r="G9" s="254">
        <f>SUMIF($E11:$E298,$E9,G11:G298)</f>
        <v>638445</v>
      </c>
      <c r="H9" s="254">
        <f>SUMIF($E11:$E298,$E9,H11:H298)</f>
        <v>536409.89</v>
      </c>
      <c r="I9" s="254">
        <f>SUMIF($E11:$E298,$E9,I11:I298)</f>
        <v>9234.86</v>
      </c>
      <c r="J9" s="255">
        <f>ROUND(H9/G9*100,1)</f>
        <v>84</v>
      </c>
      <c r="K9" s="28"/>
      <c r="L9" s="24"/>
    </row>
    <row r="10" spans="1:16" s="31" customFormat="1" ht="20.25" customHeight="1">
      <c r="A10" s="29"/>
      <c r="B10" s="29"/>
      <c r="C10" s="29"/>
      <c r="D10" s="507" t="s">
        <v>6</v>
      </c>
      <c r="E10" s="507"/>
      <c r="F10" s="507"/>
      <c r="G10" s="507"/>
      <c r="H10" s="507"/>
      <c r="I10" s="507"/>
      <c r="J10" s="507"/>
      <c r="K10" s="29"/>
      <c r="L10" s="30"/>
      <c r="N10" s="126"/>
      <c r="O10" s="126"/>
      <c r="P10" s="126"/>
    </row>
    <row r="11" spans="1:17" s="25" customFormat="1" ht="24" customHeight="1">
      <c r="A11" s="105"/>
      <c r="B11" s="22"/>
      <c r="C11" s="22"/>
      <c r="D11" s="256" t="s">
        <v>145</v>
      </c>
      <c r="E11" s="257"/>
      <c r="F11" s="258">
        <f>SUM(F12,F17)</f>
        <v>945522</v>
      </c>
      <c r="G11" s="258">
        <f>SUM(G12,G17)</f>
        <v>918927</v>
      </c>
      <c r="H11" s="258">
        <f>SUM(H12,H17)</f>
        <v>817847.65</v>
      </c>
      <c r="I11" s="258">
        <f>SUM(I12,I17)</f>
        <v>41664.29</v>
      </c>
      <c r="J11" s="242">
        <f aca="true" t="shared" si="0" ref="J11:J47">ROUND(H11/G11*100,1)</f>
        <v>89</v>
      </c>
      <c r="K11" s="32"/>
      <c r="L11" s="24"/>
      <c r="M11" s="87"/>
      <c r="N11" s="87"/>
      <c r="O11" s="87"/>
      <c r="P11" s="87"/>
      <c r="Q11" s="87"/>
    </row>
    <row r="12" spans="1:15" ht="17.25" customHeight="1">
      <c r="A12" s="103"/>
      <c r="D12" s="259" t="s">
        <v>146</v>
      </c>
      <c r="E12" s="260"/>
      <c r="F12" s="261">
        <f>SUM(F13:F16)</f>
        <v>753822</v>
      </c>
      <c r="G12" s="261">
        <f>SUM(G13:G16)</f>
        <v>638445</v>
      </c>
      <c r="H12" s="261">
        <f>SUM(H13:H16)</f>
        <v>536409.89</v>
      </c>
      <c r="I12" s="261">
        <f>SUM(I13:I16)</f>
        <v>9234.86</v>
      </c>
      <c r="J12" s="262">
        <f t="shared" si="0"/>
        <v>84</v>
      </c>
      <c r="K12" s="26"/>
      <c r="M12" s="88"/>
      <c r="N12" s="88"/>
      <c r="O12" s="88"/>
    </row>
    <row r="13" spans="1:11" ht="16.5" customHeight="1">
      <c r="A13" s="103"/>
      <c r="B13" s="33"/>
      <c r="C13" s="33" t="s">
        <v>8</v>
      </c>
      <c r="D13" s="263" t="s">
        <v>9</v>
      </c>
      <c r="E13" s="264" t="s">
        <v>5</v>
      </c>
      <c r="F13" s="245">
        <v>640000</v>
      </c>
      <c r="G13" s="245">
        <f>640000-80000-16000</f>
        <v>544000</v>
      </c>
      <c r="H13" s="265">
        <v>424299.19</v>
      </c>
      <c r="I13" s="265"/>
      <c r="J13" s="246">
        <f t="shared" si="0"/>
        <v>78</v>
      </c>
      <c r="K13" s="26"/>
    </row>
    <row r="14" spans="1:17" ht="30">
      <c r="A14" s="103"/>
      <c r="B14" s="33"/>
      <c r="C14" s="33" t="s">
        <v>10</v>
      </c>
      <c r="D14" s="249" t="s">
        <v>11</v>
      </c>
      <c r="E14" s="250" t="s">
        <v>5</v>
      </c>
      <c r="F14" s="266">
        <v>111922</v>
      </c>
      <c r="G14" s="266">
        <f>111922-18807</f>
        <v>93115</v>
      </c>
      <c r="H14" s="267">
        <v>111227.46</v>
      </c>
      <c r="I14" s="267">
        <v>9220.69</v>
      </c>
      <c r="J14" s="251">
        <f t="shared" si="0"/>
        <v>119.5</v>
      </c>
      <c r="K14" s="26"/>
      <c r="M14" s="88"/>
      <c r="N14" s="88"/>
      <c r="O14" s="88"/>
      <c r="P14" s="88"/>
      <c r="Q14" s="88"/>
    </row>
    <row r="15" spans="1:11" ht="15">
      <c r="A15" s="103"/>
      <c r="B15" s="33"/>
      <c r="C15" s="33" t="s">
        <v>12</v>
      </c>
      <c r="D15" s="249" t="s">
        <v>13</v>
      </c>
      <c r="E15" s="250" t="s">
        <v>5</v>
      </c>
      <c r="F15" s="266">
        <v>1014</v>
      </c>
      <c r="G15" s="266">
        <f>1014-570</f>
        <v>444</v>
      </c>
      <c r="H15" s="267">
        <v>484.23</v>
      </c>
      <c r="I15" s="267"/>
      <c r="J15" s="248">
        <f t="shared" si="0"/>
        <v>109.1</v>
      </c>
      <c r="K15" s="26"/>
    </row>
    <row r="16" spans="1:17" ht="15">
      <c r="A16" s="103"/>
      <c r="B16" s="33"/>
      <c r="C16" s="33" t="s">
        <v>10</v>
      </c>
      <c r="D16" s="249" t="s">
        <v>14</v>
      </c>
      <c r="E16" s="250" t="s">
        <v>5</v>
      </c>
      <c r="F16" s="266">
        <v>886</v>
      </c>
      <c r="G16" s="266">
        <v>886</v>
      </c>
      <c r="H16" s="267">
        <v>399.01</v>
      </c>
      <c r="I16" s="267">
        <v>14.17</v>
      </c>
      <c r="J16" s="248">
        <f t="shared" si="0"/>
        <v>45</v>
      </c>
      <c r="K16" s="26"/>
      <c r="M16" s="88"/>
      <c r="N16" s="88"/>
      <c r="O16" s="88"/>
      <c r="P16" s="88"/>
      <c r="Q16" s="127"/>
    </row>
    <row r="17" spans="1:13" ht="17.25" customHeight="1">
      <c r="A17" s="103"/>
      <c r="B17" s="33"/>
      <c r="C17" s="33"/>
      <c r="D17" s="268" t="s">
        <v>347</v>
      </c>
      <c r="E17" s="269"/>
      <c r="F17" s="270">
        <f>SUM(F18:F21)</f>
        <v>191700</v>
      </c>
      <c r="G17" s="270">
        <f>SUM(G18:G21)</f>
        <v>280482</v>
      </c>
      <c r="H17" s="270">
        <f>SUM(H18:H21)</f>
        <v>281437.76</v>
      </c>
      <c r="I17" s="270">
        <f>SUM(I18:I21)</f>
        <v>32429.43</v>
      </c>
      <c r="J17" s="271">
        <f t="shared" si="0"/>
        <v>100.3</v>
      </c>
      <c r="K17" s="26"/>
      <c r="M17" s="88"/>
    </row>
    <row r="18" spans="1:14" ht="16.5" customHeight="1">
      <c r="A18" s="103"/>
      <c r="B18" s="33"/>
      <c r="C18" s="272" t="s">
        <v>15</v>
      </c>
      <c r="D18" s="263" t="s">
        <v>147</v>
      </c>
      <c r="E18" s="264" t="s">
        <v>1</v>
      </c>
      <c r="F18" s="245">
        <v>140000</v>
      </c>
      <c r="G18" s="245">
        <f>140000+9000</f>
        <v>149000</v>
      </c>
      <c r="H18" s="265">
        <v>149829.08</v>
      </c>
      <c r="I18" s="265"/>
      <c r="J18" s="246">
        <f t="shared" si="0"/>
        <v>100.6</v>
      </c>
      <c r="K18" s="26"/>
      <c r="L18" s="118"/>
      <c r="M18" s="118"/>
      <c r="N18" s="118"/>
    </row>
    <row r="19" spans="1:17" ht="34.5" customHeight="1">
      <c r="A19" s="103"/>
      <c r="B19" s="33"/>
      <c r="C19" s="273" t="s">
        <v>15</v>
      </c>
      <c r="D19" s="263" t="s">
        <v>297</v>
      </c>
      <c r="E19" s="264" t="s">
        <v>1</v>
      </c>
      <c r="F19" s="245"/>
      <c r="G19" s="245">
        <v>10788</v>
      </c>
      <c r="H19" s="265">
        <v>11319</v>
      </c>
      <c r="I19" s="265"/>
      <c r="J19" s="251">
        <f t="shared" si="0"/>
        <v>104.9</v>
      </c>
      <c r="K19" s="26"/>
      <c r="L19" s="118"/>
      <c r="M19" s="118"/>
      <c r="N19" s="118"/>
      <c r="O19" s="88"/>
      <c r="P19" s="88"/>
      <c r="Q19" s="88"/>
    </row>
    <row r="20" spans="1:11" ht="16.5" customHeight="1">
      <c r="A20" s="103"/>
      <c r="B20" s="33"/>
      <c r="C20" s="274" t="s">
        <v>15</v>
      </c>
      <c r="D20" s="275" t="s">
        <v>291</v>
      </c>
      <c r="E20" s="264" t="s">
        <v>1</v>
      </c>
      <c r="F20" s="276"/>
      <c r="G20" s="276">
        <f>45000+16994</f>
        <v>61994</v>
      </c>
      <c r="H20" s="277">
        <v>61965.3</v>
      </c>
      <c r="I20" s="277"/>
      <c r="J20" s="278">
        <f t="shared" si="0"/>
        <v>100</v>
      </c>
      <c r="K20" s="26"/>
    </row>
    <row r="21" spans="1:16" s="25" customFormat="1" ht="16.5" customHeight="1">
      <c r="A21" s="104"/>
      <c r="B21" s="27"/>
      <c r="C21" s="27" t="s">
        <v>16</v>
      </c>
      <c r="D21" s="252" t="s">
        <v>148</v>
      </c>
      <c r="E21" s="253" t="s">
        <v>1</v>
      </c>
      <c r="F21" s="254">
        <v>51700</v>
      </c>
      <c r="G21" s="254">
        <f>51700+7000</f>
        <v>58700</v>
      </c>
      <c r="H21" s="279">
        <v>58324.38</v>
      </c>
      <c r="I21" s="279">
        <v>32429.43</v>
      </c>
      <c r="J21" s="255">
        <f t="shared" si="0"/>
        <v>99.4</v>
      </c>
      <c r="K21" s="28"/>
      <c r="L21" s="24"/>
      <c r="M21" s="87"/>
      <c r="N21" s="87"/>
      <c r="O21" s="87"/>
      <c r="P21" s="87"/>
    </row>
    <row r="22" spans="1:17" s="25" customFormat="1" ht="22.5" customHeight="1">
      <c r="A22" s="105"/>
      <c r="B22" s="22"/>
      <c r="C22" s="22"/>
      <c r="D22" s="280" t="s">
        <v>149</v>
      </c>
      <c r="E22" s="281"/>
      <c r="F22" s="258">
        <f>SUM(F24,F26,F99,F108,F111)</f>
        <v>16647671</v>
      </c>
      <c r="G22" s="258">
        <f>SUM(G23,G26,G106,G108,G111,G102)</f>
        <v>9815471</v>
      </c>
      <c r="H22" s="258">
        <f>SUM(H23,H26,H106,H108,H111,H102)</f>
        <v>7437970.3100000005</v>
      </c>
      <c r="I22" s="258">
        <f>SUM(I23,I26,I106,I108,I111,I102)</f>
        <v>1067407.97</v>
      </c>
      <c r="J22" s="262">
        <f t="shared" si="0"/>
        <v>75.8</v>
      </c>
      <c r="K22" s="32"/>
      <c r="L22" s="490"/>
      <c r="M22" s="490"/>
      <c r="N22" s="490"/>
      <c r="O22" s="87"/>
      <c r="P22" s="87"/>
      <c r="Q22" s="87"/>
    </row>
    <row r="23" spans="1:17" s="25" customFormat="1" ht="22.5" customHeight="1">
      <c r="A23" s="102"/>
      <c r="B23" s="21"/>
      <c r="C23" s="21"/>
      <c r="D23" s="282" t="s">
        <v>298</v>
      </c>
      <c r="E23" s="283"/>
      <c r="F23" s="116"/>
      <c r="G23" s="116">
        <f>SUM(G24,G25)</f>
        <v>220485</v>
      </c>
      <c r="H23" s="116">
        <f>SUM(H24,H25)</f>
        <v>220485</v>
      </c>
      <c r="I23" s="116">
        <f>SUM(I24,I25)</f>
        <v>0</v>
      </c>
      <c r="J23" s="262">
        <f t="shared" si="0"/>
        <v>100</v>
      </c>
      <c r="K23" s="116">
        <f>SUM(K24,K25)</f>
        <v>0</v>
      </c>
      <c r="L23" s="490"/>
      <c r="M23" s="490"/>
      <c r="N23" s="490"/>
      <c r="O23" s="87"/>
      <c r="P23" s="87"/>
      <c r="Q23" s="87"/>
    </row>
    <row r="24" spans="1:16" s="12" customFormat="1" ht="28.5" customHeight="1">
      <c r="A24" s="103"/>
      <c r="B24" s="33"/>
      <c r="C24" s="274" t="s">
        <v>150</v>
      </c>
      <c r="D24" s="284" t="s">
        <v>348</v>
      </c>
      <c r="E24" s="285" t="s">
        <v>1</v>
      </c>
      <c r="F24" s="261">
        <v>50000</v>
      </c>
      <c r="G24" s="276">
        <v>50000</v>
      </c>
      <c r="H24" s="286">
        <v>50000</v>
      </c>
      <c r="I24" s="286"/>
      <c r="J24" s="287">
        <f t="shared" si="0"/>
        <v>100</v>
      </c>
      <c r="K24" s="26"/>
      <c r="L24" s="34"/>
      <c r="M24" s="106"/>
      <c r="N24" s="106"/>
      <c r="O24" s="106"/>
      <c r="P24" s="106"/>
    </row>
    <row r="25" spans="1:16" s="12" customFormat="1" ht="28.5" customHeight="1">
      <c r="A25" s="103"/>
      <c r="B25" s="33"/>
      <c r="C25" s="274" t="s">
        <v>150</v>
      </c>
      <c r="D25" s="284" t="s">
        <v>299</v>
      </c>
      <c r="E25" s="285" t="s">
        <v>1</v>
      </c>
      <c r="F25" s="261"/>
      <c r="G25" s="276">
        <v>170485</v>
      </c>
      <c r="H25" s="286">
        <v>170485</v>
      </c>
      <c r="I25" s="286"/>
      <c r="J25" s="287">
        <f t="shared" si="0"/>
        <v>100</v>
      </c>
      <c r="K25" s="26"/>
      <c r="L25" s="34"/>
      <c r="M25" s="106"/>
      <c r="N25" s="106"/>
      <c r="O25" s="106"/>
      <c r="P25" s="106"/>
    </row>
    <row r="26" spans="1:15" s="12" customFormat="1" ht="17.25" customHeight="1">
      <c r="A26" s="103"/>
      <c r="D26" s="288" t="s">
        <v>300</v>
      </c>
      <c r="E26" s="285"/>
      <c r="F26" s="289">
        <f>SUM(F27,F58:F70,F95,F96,)</f>
        <v>16087671</v>
      </c>
      <c r="G26" s="290">
        <f>SUM(G27,G58,G62,G70,G95,G96,G99,G98,G97)</f>
        <v>9104986</v>
      </c>
      <c r="H26" s="290">
        <f>SUM(H27,H58,H62,H70,H95,H96,H99,H98,H97)</f>
        <v>6813516.54</v>
      </c>
      <c r="I26" s="290">
        <f>SUM(I27,I58,I62,I70,I95,I96,I99,I98,I97)</f>
        <v>1031363.51</v>
      </c>
      <c r="J26" s="262">
        <f t="shared" si="0"/>
        <v>74.8</v>
      </c>
      <c r="K26" s="26"/>
      <c r="L26" s="117"/>
      <c r="M26" s="117"/>
      <c r="N26" s="117"/>
      <c r="O26" s="117"/>
    </row>
    <row r="27" spans="1:17" ht="17.25" customHeight="1">
      <c r="A27" s="103"/>
      <c r="D27" s="291" t="s">
        <v>19</v>
      </c>
      <c r="E27" s="292"/>
      <c r="F27" s="293">
        <f>SUM(F28:F56)</f>
        <v>10665000</v>
      </c>
      <c r="G27" s="293">
        <f>SUM(G28:G46,G56:G57)</f>
        <v>4420800</v>
      </c>
      <c r="H27" s="293">
        <f>SUM(H28:H46,H56,H57)</f>
        <v>3211112.0799999996</v>
      </c>
      <c r="I27" s="293">
        <f>SUM(I28:I46,I56,I57)</f>
        <v>409919.99</v>
      </c>
      <c r="J27" s="246">
        <f t="shared" si="0"/>
        <v>72.6</v>
      </c>
      <c r="K27" s="26"/>
      <c r="M27" s="88"/>
      <c r="N27" s="88"/>
      <c r="O27" s="88"/>
      <c r="P27" s="88"/>
      <c r="Q27" s="128"/>
    </row>
    <row r="28" spans="1:15" ht="15">
      <c r="A28" s="103"/>
      <c r="C28" s="12" t="s">
        <v>18</v>
      </c>
      <c r="D28" s="294" t="s">
        <v>151</v>
      </c>
      <c r="E28" s="295" t="s">
        <v>1</v>
      </c>
      <c r="F28" s="266">
        <v>400000</v>
      </c>
      <c r="G28" s="266">
        <v>400000</v>
      </c>
      <c r="H28" s="267">
        <v>80667.65</v>
      </c>
      <c r="I28" s="267">
        <v>9952.82</v>
      </c>
      <c r="J28" s="296">
        <f t="shared" si="0"/>
        <v>20.2</v>
      </c>
      <c r="K28" s="26"/>
      <c r="L28" s="118"/>
      <c r="M28" s="118"/>
      <c r="N28" s="118"/>
      <c r="O28" s="118"/>
    </row>
    <row r="29" spans="1:17" ht="15">
      <c r="A29" s="103"/>
      <c r="C29" s="12" t="s">
        <v>18</v>
      </c>
      <c r="D29" s="297" t="s">
        <v>151</v>
      </c>
      <c r="E29" s="298" t="s">
        <v>1</v>
      </c>
      <c r="F29" s="299">
        <v>3400000</v>
      </c>
      <c r="G29" s="299">
        <f>3400000-3000000</f>
        <v>400000</v>
      </c>
      <c r="H29" s="300">
        <v>239339.88</v>
      </c>
      <c r="I29" s="300">
        <v>1695.72</v>
      </c>
      <c r="J29" s="301">
        <f t="shared" si="0"/>
        <v>59.8</v>
      </c>
      <c r="K29" s="26"/>
      <c r="M29" s="88"/>
      <c r="N29" s="88"/>
      <c r="O29" s="88"/>
      <c r="P29" s="88"/>
      <c r="Q29" s="88"/>
    </row>
    <row r="30" spans="1:15" ht="15">
      <c r="A30" s="103"/>
      <c r="C30" s="12" t="s">
        <v>18</v>
      </c>
      <c r="D30" s="294" t="s">
        <v>152</v>
      </c>
      <c r="E30" s="295" t="s">
        <v>1</v>
      </c>
      <c r="F30" s="266">
        <v>420000</v>
      </c>
      <c r="G30" s="266">
        <f>420000-110000+110000-250000</f>
        <v>170000</v>
      </c>
      <c r="H30" s="267">
        <v>32247.65</v>
      </c>
      <c r="I30" s="267">
        <v>5401.57</v>
      </c>
      <c r="J30" s="248">
        <f t="shared" si="0"/>
        <v>19</v>
      </c>
      <c r="K30" s="26"/>
      <c r="L30" s="118"/>
      <c r="M30" s="118"/>
      <c r="N30" s="118"/>
      <c r="O30" s="118"/>
    </row>
    <row r="31" spans="1:11" ht="15">
      <c r="A31" s="103"/>
      <c r="C31" s="12" t="s">
        <v>18</v>
      </c>
      <c r="D31" s="297" t="s">
        <v>152</v>
      </c>
      <c r="E31" s="298" t="s">
        <v>1</v>
      </c>
      <c r="F31" s="299">
        <v>2800000</v>
      </c>
      <c r="G31" s="299">
        <f>2800000-2600000</f>
        <v>200000</v>
      </c>
      <c r="H31" s="300">
        <v>118125.55</v>
      </c>
      <c r="I31" s="300">
        <v>118125.55</v>
      </c>
      <c r="J31" s="301">
        <f t="shared" si="0"/>
        <v>59.1</v>
      </c>
      <c r="K31" s="26"/>
    </row>
    <row r="32" spans="1:15" ht="15">
      <c r="A32" s="103"/>
      <c r="C32" s="12" t="s">
        <v>18</v>
      </c>
      <c r="D32" s="294" t="s">
        <v>153</v>
      </c>
      <c r="E32" s="295" t="s">
        <v>1</v>
      </c>
      <c r="F32" s="266">
        <v>1030000</v>
      </c>
      <c r="G32" s="266">
        <v>1030000</v>
      </c>
      <c r="H32" s="267">
        <v>881750.63</v>
      </c>
      <c r="I32" s="267"/>
      <c r="J32" s="248">
        <f t="shared" si="0"/>
        <v>85.6</v>
      </c>
      <c r="K32" s="26"/>
      <c r="L32" s="118"/>
      <c r="M32" s="118"/>
      <c r="N32" s="118"/>
      <c r="O32" s="118"/>
    </row>
    <row r="33" spans="1:17" ht="15">
      <c r="A33" s="103"/>
      <c r="C33" s="12" t="s">
        <v>18</v>
      </c>
      <c r="D33" s="294" t="s">
        <v>154</v>
      </c>
      <c r="E33" s="295" t="s">
        <v>1</v>
      </c>
      <c r="F33" s="266">
        <v>500000</v>
      </c>
      <c r="G33" s="266">
        <f>500000-2000</f>
        <v>498000</v>
      </c>
      <c r="H33" s="267">
        <v>656088.1</v>
      </c>
      <c r="I33" s="267"/>
      <c r="J33" s="248">
        <f t="shared" si="0"/>
        <v>131.7</v>
      </c>
      <c r="K33" s="26"/>
      <c r="M33" s="88"/>
      <c r="N33" s="88"/>
      <c r="O33" s="88"/>
      <c r="P33" s="88"/>
      <c r="Q33" s="88"/>
    </row>
    <row r="34" spans="1:11" ht="15">
      <c r="A34" s="103"/>
      <c r="C34" s="12" t="s">
        <v>18</v>
      </c>
      <c r="D34" s="297" t="s">
        <v>154</v>
      </c>
      <c r="E34" s="298" t="s">
        <v>1</v>
      </c>
      <c r="F34" s="299">
        <v>500000</v>
      </c>
      <c r="G34" s="299">
        <f>500000-500000</f>
        <v>0</v>
      </c>
      <c r="H34" s="300"/>
      <c r="I34" s="300"/>
      <c r="J34" s="302"/>
      <c r="K34" s="26"/>
    </row>
    <row r="35" spans="1:15" ht="15">
      <c r="A35" s="103"/>
      <c r="C35" s="12" t="s">
        <v>18</v>
      </c>
      <c r="D35" s="294" t="s">
        <v>292</v>
      </c>
      <c r="E35" s="295" t="s">
        <v>1</v>
      </c>
      <c r="F35" s="266"/>
      <c r="G35" s="266">
        <v>2000</v>
      </c>
      <c r="H35" s="267">
        <v>2000</v>
      </c>
      <c r="I35" s="267"/>
      <c r="J35" s="248">
        <f t="shared" si="0"/>
        <v>100</v>
      </c>
      <c r="K35" s="26"/>
      <c r="M35" s="88"/>
      <c r="N35" s="88"/>
      <c r="O35" s="88"/>
    </row>
    <row r="36" spans="1:11" ht="15">
      <c r="A36" s="103"/>
      <c r="C36" s="12" t="s">
        <v>18</v>
      </c>
      <c r="D36" s="294" t="s">
        <v>301</v>
      </c>
      <c r="E36" s="295" t="s">
        <v>1</v>
      </c>
      <c r="F36" s="266"/>
      <c r="G36" s="266">
        <v>355000</v>
      </c>
      <c r="H36" s="267">
        <v>69366.21</v>
      </c>
      <c r="I36" s="267"/>
      <c r="J36" s="248">
        <f t="shared" si="0"/>
        <v>19.5</v>
      </c>
      <c r="K36" s="26"/>
    </row>
    <row r="37" spans="1:17" s="14" customFormat="1" ht="15">
      <c r="A37" s="103"/>
      <c r="B37" s="12"/>
      <c r="C37" s="12" t="s">
        <v>18</v>
      </c>
      <c r="D37" s="294" t="s">
        <v>155</v>
      </c>
      <c r="E37" s="295" t="s">
        <v>1</v>
      </c>
      <c r="F37" s="266">
        <v>450000</v>
      </c>
      <c r="G37" s="266">
        <f>450000-430000</f>
        <v>20000</v>
      </c>
      <c r="H37" s="267"/>
      <c r="I37" s="267"/>
      <c r="J37" s="303">
        <f t="shared" si="0"/>
        <v>0</v>
      </c>
      <c r="K37" s="26"/>
      <c r="M37" s="15"/>
      <c r="N37" s="15"/>
      <c r="O37" s="15"/>
      <c r="P37" s="15"/>
      <c r="Q37" s="15"/>
    </row>
    <row r="38" spans="1:17" s="14" customFormat="1" ht="15">
      <c r="A38" s="103"/>
      <c r="B38" s="12"/>
      <c r="C38" s="12" t="s">
        <v>18</v>
      </c>
      <c r="D38" s="294" t="s">
        <v>156</v>
      </c>
      <c r="E38" s="295" t="s">
        <v>1</v>
      </c>
      <c r="F38" s="266">
        <v>250000</v>
      </c>
      <c r="G38" s="266">
        <f>250000+50000</f>
        <v>300000</v>
      </c>
      <c r="H38" s="267">
        <v>256257.98</v>
      </c>
      <c r="I38" s="267">
        <v>137503.33</v>
      </c>
      <c r="J38" s="248">
        <f t="shared" si="0"/>
        <v>85.4</v>
      </c>
      <c r="K38" s="26"/>
      <c r="M38" s="15"/>
      <c r="N38" s="15"/>
      <c r="O38" s="15"/>
      <c r="P38" s="15"/>
      <c r="Q38" s="15"/>
    </row>
    <row r="39" spans="1:17" s="14" customFormat="1" ht="15">
      <c r="A39" s="103"/>
      <c r="B39" s="12"/>
      <c r="C39" s="12" t="s">
        <v>18</v>
      </c>
      <c r="D39" s="294" t="s">
        <v>157</v>
      </c>
      <c r="E39" s="295" t="s">
        <v>1</v>
      </c>
      <c r="F39" s="266">
        <v>160000</v>
      </c>
      <c r="G39" s="266">
        <v>160000</v>
      </c>
      <c r="H39" s="267">
        <v>148825.6</v>
      </c>
      <c r="I39" s="267"/>
      <c r="J39" s="248">
        <f t="shared" si="0"/>
        <v>93</v>
      </c>
      <c r="K39" s="26"/>
      <c r="M39" s="15"/>
      <c r="N39" s="15"/>
      <c r="O39" s="15"/>
      <c r="P39" s="15"/>
      <c r="Q39" s="15"/>
    </row>
    <row r="40" spans="1:17" s="14" customFormat="1" ht="15">
      <c r="A40" s="103"/>
      <c r="B40" s="12"/>
      <c r="C40" s="12" t="s">
        <v>18</v>
      </c>
      <c r="D40" s="294" t="s">
        <v>158</v>
      </c>
      <c r="E40" s="295" t="s">
        <v>1</v>
      </c>
      <c r="F40" s="266">
        <v>100000</v>
      </c>
      <c r="G40" s="266">
        <f>100000+25000+15000</f>
        <v>140000</v>
      </c>
      <c r="H40" s="267">
        <v>140894.34</v>
      </c>
      <c r="I40" s="267"/>
      <c r="J40" s="296">
        <f t="shared" si="0"/>
        <v>100.6</v>
      </c>
      <c r="K40" s="26"/>
      <c r="M40" s="15"/>
      <c r="N40" s="15"/>
      <c r="O40" s="15"/>
      <c r="P40" s="15"/>
      <c r="Q40" s="15"/>
    </row>
    <row r="41" spans="1:17" s="14" customFormat="1" ht="15">
      <c r="A41" s="103"/>
      <c r="B41" s="12"/>
      <c r="C41" s="12" t="s">
        <v>18</v>
      </c>
      <c r="D41" s="294" t="s">
        <v>159</v>
      </c>
      <c r="E41" s="295" t="s">
        <v>1</v>
      </c>
      <c r="F41" s="266">
        <v>100000</v>
      </c>
      <c r="G41" s="266">
        <f>100000+65000-30000</f>
        <v>135000</v>
      </c>
      <c r="H41" s="267">
        <v>134261.4</v>
      </c>
      <c r="I41" s="267">
        <v>3168</v>
      </c>
      <c r="J41" s="251">
        <f t="shared" si="0"/>
        <v>99.5</v>
      </c>
      <c r="K41" s="26"/>
      <c r="M41" s="15"/>
      <c r="N41" s="15"/>
      <c r="O41" s="15"/>
      <c r="P41" s="15"/>
      <c r="Q41" s="15"/>
    </row>
    <row r="42" spans="1:17" s="14" customFormat="1" ht="15">
      <c r="A42" s="103"/>
      <c r="B42" s="12"/>
      <c r="C42" s="12" t="s">
        <v>18</v>
      </c>
      <c r="D42" s="294" t="s">
        <v>160</v>
      </c>
      <c r="E42" s="295" t="s">
        <v>1</v>
      </c>
      <c r="F42" s="266">
        <v>80000</v>
      </c>
      <c r="G42" s="266">
        <v>80000</v>
      </c>
      <c r="H42" s="267">
        <v>82062.56</v>
      </c>
      <c r="I42" s="267"/>
      <c r="J42" s="248">
        <f t="shared" si="0"/>
        <v>102.6</v>
      </c>
      <c r="K42" s="26"/>
      <c r="M42" s="15"/>
      <c r="N42" s="15"/>
      <c r="O42" s="15"/>
      <c r="P42" s="15"/>
      <c r="Q42" s="15"/>
    </row>
    <row r="43" spans="1:17" s="14" customFormat="1" ht="15">
      <c r="A43" s="103"/>
      <c r="B43" s="12"/>
      <c r="C43" s="12" t="s">
        <v>18</v>
      </c>
      <c r="D43" s="294" t="s">
        <v>161</v>
      </c>
      <c r="E43" s="295" t="s">
        <v>1</v>
      </c>
      <c r="F43" s="266">
        <v>60000</v>
      </c>
      <c r="G43" s="266">
        <v>60000</v>
      </c>
      <c r="H43" s="267">
        <v>60904.63</v>
      </c>
      <c r="I43" s="267"/>
      <c r="J43" s="248">
        <f t="shared" si="0"/>
        <v>101.5</v>
      </c>
      <c r="K43" s="26"/>
      <c r="M43" s="15"/>
      <c r="N43" s="15"/>
      <c r="O43" s="15"/>
      <c r="P43" s="15"/>
      <c r="Q43" s="15"/>
    </row>
    <row r="44" spans="1:17" s="14" customFormat="1" ht="30">
      <c r="A44" s="103"/>
      <c r="B44" s="12"/>
      <c r="C44" s="12" t="s">
        <v>8</v>
      </c>
      <c r="D44" s="294" t="s">
        <v>162</v>
      </c>
      <c r="E44" s="295" t="s">
        <v>3</v>
      </c>
      <c r="F44" s="266">
        <v>45000</v>
      </c>
      <c r="G44" s="266">
        <v>45000</v>
      </c>
      <c r="H44" s="267">
        <v>45000</v>
      </c>
      <c r="I44" s="267"/>
      <c r="J44" s="251">
        <f>ROUND(H44/G44*100,1)</f>
        <v>100</v>
      </c>
      <c r="K44" s="26"/>
      <c r="M44" s="15"/>
      <c r="N44" s="15"/>
      <c r="O44" s="15"/>
      <c r="P44" s="15"/>
      <c r="Q44" s="15"/>
    </row>
    <row r="45" spans="1:17" s="14" customFormat="1" ht="30">
      <c r="A45" s="103"/>
      <c r="B45" s="12"/>
      <c r="C45" s="12" t="s">
        <v>18</v>
      </c>
      <c r="D45" s="294" t="s">
        <v>163</v>
      </c>
      <c r="E45" s="295" t="s">
        <v>3</v>
      </c>
      <c r="F45" s="266">
        <v>10000</v>
      </c>
      <c r="G45" s="266">
        <f>10000-6000</f>
        <v>4000</v>
      </c>
      <c r="H45" s="267">
        <v>4148.58</v>
      </c>
      <c r="I45" s="267"/>
      <c r="J45" s="251">
        <f t="shared" si="0"/>
        <v>103.7</v>
      </c>
      <c r="K45" s="26"/>
      <c r="M45" s="15"/>
      <c r="N45" s="15"/>
      <c r="O45" s="15"/>
      <c r="P45" s="15"/>
      <c r="Q45" s="15"/>
    </row>
    <row r="46" spans="1:17" s="14" customFormat="1" ht="15">
      <c r="A46" s="103"/>
      <c r="B46" s="12"/>
      <c r="C46" s="12" t="s">
        <v>18</v>
      </c>
      <c r="D46" s="294" t="s">
        <v>164</v>
      </c>
      <c r="E46" s="295" t="s">
        <v>1</v>
      </c>
      <c r="F46" s="266">
        <v>300000</v>
      </c>
      <c r="G46" s="266">
        <v>300000</v>
      </c>
      <c r="H46" s="267">
        <v>131757</v>
      </c>
      <c r="I46" s="267">
        <f>SUM(I47:I55)</f>
        <v>103173</v>
      </c>
      <c r="J46" s="248">
        <f t="shared" si="0"/>
        <v>43.9</v>
      </c>
      <c r="K46" s="26"/>
      <c r="M46" s="15"/>
      <c r="N46" s="15"/>
      <c r="O46" s="15"/>
      <c r="P46" s="15"/>
      <c r="Q46" s="15"/>
    </row>
    <row r="47" spans="1:17" s="14" customFormat="1" ht="15">
      <c r="A47" s="103"/>
      <c r="B47" s="12"/>
      <c r="C47" s="12" t="s">
        <v>18</v>
      </c>
      <c r="D47" s="294" t="s">
        <v>293</v>
      </c>
      <c r="E47" s="295"/>
      <c r="F47" s="266"/>
      <c r="G47" s="266">
        <v>28594</v>
      </c>
      <c r="H47" s="267">
        <v>28593.6</v>
      </c>
      <c r="I47" s="267"/>
      <c r="J47" s="248">
        <f t="shared" si="0"/>
        <v>100</v>
      </c>
      <c r="K47" s="26"/>
      <c r="M47" s="15"/>
      <c r="N47" s="15"/>
      <c r="O47" s="15"/>
      <c r="P47" s="15"/>
      <c r="Q47" s="15"/>
    </row>
    <row r="48" spans="1:17" s="14" customFormat="1" ht="15">
      <c r="A48" s="103"/>
      <c r="B48" s="12"/>
      <c r="C48" s="12" t="s">
        <v>18</v>
      </c>
      <c r="D48" s="294" t="s">
        <v>387</v>
      </c>
      <c r="E48" s="295"/>
      <c r="F48" s="266"/>
      <c r="G48" s="266"/>
      <c r="H48" s="267">
        <v>15000</v>
      </c>
      <c r="I48" s="267">
        <v>15000</v>
      </c>
      <c r="J48" s="248"/>
      <c r="K48" s="26"/>
      <c r="M48" s="15"/>
      <c r="N48" s="15"/>
      <c r="O48" s="15"/>
      <c r="P48" s="15"/>
      <c r="Q48" s="15"/>
    </row>
    <row r="49" spans="1:17" s="14" customFormat="1" ht="15">
      <c r="A49" s="103"/>
      <c r="B49" s="12"/>
      <c r="C49" s="12" t="s">
        <v>18</v>
      </c>
      <c r="D49" s="294" t="s">
        <v>388</v>
      </c>
      <c r="E49" s="295"/>
      <c r="F49" s="266"/>
      <c r="G49" s="266"/>
      <c r="H49" s="267">
        <v>25000</v>
      </c>
      <c r="I49" s="267">
        <v>25000</v>
      </c>
      <c r="J49" s="248"/>
      <c r="K49" s="26"/>
      <c r="M49" s="15"/>
      <c r="N49" s="15"/>
      <c r="O49" s="15"/>
      <c r="P49" s="15"/>
      <c r="Q49" s="15"/>
    </row>
    <row r="50" spans="1:17" s="14" customFormat="1" ht="15">
      <c r="A50" s="103"/>
      <c r="B50" s="12"/>
      <c r="C50" s="12" t="s">
        <v>18</v>
      </c>
      <c r="D50" s="294" t="s">
        <v>389</v>
      </c>
      <c r="E50" s="295"/>
      <c r="F50" s="266"/>
      <c r="G50" s="266"/>
      <c r="H50" s="267">
        <v>10000</v>
      </c>
      <c r="I50" s="267">
        <v>10000</v>
      </c>
      <c r="J50" s="248"/>
      <c r="K50" s="26"/>
      <c r="M50" s="15"/>
      <c r="N50" s="15"/>
      <c r="O50" s="15"/>
      <c r="P50" s="15"/>
      <c r="Q50" s="15"/>
    </row>
    <row r="51" spans="1:17" s="14" customFormat="1" ht="15">
      <c r="A51" s="103"/>
      <c r="B51" s="12"/>
      <c r="C51" s="12" t="s">
        <v>18</v>
      </c>
      <c r="D51" s="294" t="s">
        <v>390</v>
      </c>
      <c r="E51" s="295"/>
      <c r="F51" s="266"/>
      <c r="G51" s="266"/>
      <c r="H51" s="267">
        <v>10000</v>
      </c>
      <c r="I51" s="267">
        <v>10000</v>
      </c>
      <c r="J51" s="248"/>
      <c r="K51" s="26"/>
      <c r="M51" s="15"/>
      <c r="N51" s="15"/>
      <c r="O51" s="15"/>
      <c r="P51" s="15"/>
      <c r="Q51" s="15"/>
    </row>
    <row r="52" spans="1:17" s="14" customFormat="1" ht="15">
      <c r="A52" s="103"/>
      <c r="B52" s="12"/>
      <c r="C52" s="12" t="s">
        <v>18</v>
      </c>
      <c r="D52" s="294" t="s">
        <v>391</v>
      </c>
      <c r="E52" s="295"/>
      <c r="F52" s="266"/>
      <c r="G52" s="266"/>
      <c r="H52" s="267">
        <v>10000</v>
      </c>
      <c r="I52" s="267">
        <v>10000</v>
      </c>
      <c r="J52" s="248"/>
      <c r="K52" s="26"/>
      <c r="M52" s="15"/>
      <c r="N52" s="15"/>
      <c r="O52" s="15"/>
      <c r="P52" s="15"/>
      <c r="Q52" s="15"/>
    </row>
    <row r="53" spans="1:17" s="14" customFormat="1" ht="15">
      <c r="A53" s="103"/>
      <c r="B53" s="12"/>
      <c r="C53" s="12" t="s">
        <v>18</v>
      </c>
      <c r="D53" s="294" t="s">
        <v>392</v>
      </c>
      <c r="E53" s="295"/>
      <c r="F53" s="266"/>
      <c r="G53" s="266"/>
      <c r="H53" s="267">
        <v>13987</v>
      </c>
      <c r="I53" s="267">
        <v>13987</v>
      </c>
      <c r="J53" s="248"/>
      <c r="K53" s="26"/>
      <c r="M53" s="15"/>
      <c r="N53" s="15"/>
      <c r="O53" s="15"/>
      <c r="P53" s="15"/>
      <c r="Q53" s="15"/>
    </row>
    <row r="54" spans="1:17" s="14" customFormat="1" ht="15">
      <c r="A54" s="103"/>
      <c r="B54" s="12"/>
      <c r="C54" s="12" t="s">
        <v>18</v>
      </c>
      <c r="D54" s="294" t="s">
        <v>393</v>
      </c>
      <c r="E54" s="295"/>
      <c r="F54" s="266"/>
      <c r="G54" s="266"/>
      <c r="H54" s="267">
        <v>10620</v>
      </c>
      <c r="I54" s="267">
        <v>10620</v>
      </c>
      <c r="J54" s="248"/>
      <c r="K54" s="26"/>
      <c r="M54" s="15"/>
      <c r="N54" s="15"/>
      <c r="O54" s="15"/>
      <c r="P54" s="15"/>
      <c r="Q54" s="15"/>
    </row>
    <row r="55" spans="1:17" s="14" customFormat="1" ht="15">
      <c r="A55" s="103"/>
      <c r="B55" s="12"/>
      <c r="C55" s="12" t="s">
        <v>18</v>
      </c>
      <c r="D55" s="294" t="s">
        <v>394</v>
      </c>
      <c r="E55" s="295"/>
      <c r="F55" s="266"/>
      <c r="G55" s="266"/>
      <c r="H55" s="267">
        <v>8556</v>
      </c>
      <c r="I55" s="267">
        <v>8566</v>
      </c>
      <c r="J55" s="248"/>
      <c r="K55" s="26"/>
      <c r="M55" s="15"/>
      <c r="N55" s="15"/>
      <c r="O55" s="15"/>
      <c r="P55" s="15"/>
      <c r="Q55" s="15"/>
    </row>
    <row r="56" spans="1:17" s="14" customFormat="1" ht="15">
      <c r="A56" s="103"/>
      <c r="B56" s="12"/>
      <c r="C56" s="12" t="s">
        <v>18</v>
      </c>
      <c r="D56" s="304" t="s">
        <v>165</v>
      </c>
      <c r="E56" s="295" t="s">
        <v>1</v>
      </c>
      <c r="F56" s="266">
        <v>60000</v>
      </c>
      <c r="G56" s="266">
        <v>60000</v>
      </c>
      <c r="H56" s="267">
        <v>65614.32</v>
      </c>
      <c r="I56" s="267"/>
      <c r="J56" s="248">
        <f>ROUND(H56/G56*100,1)</f>
        <v>109.4</v>
      </c>
      <c r="K56" s="26"/>
      <c r="M56" s="15"/>
      <c r="N56" s="15"/>
      <c r="O56" s="15"/>
      <c r="P56" s="15"/>
      <c r="Q56" s="15"/>
    </row>
    <row r="57" spans="1:17" s="14" customFormat="1" ht="15">
      <c r="A57" s="103"/>
      <c r="B57" s="12"/>
      <c r="C57" s="12" t="s">
        <v>18</v>
      </c>
      <c r="D57" s="304" t="s">
        <v>166</v>
      </c>
      <c r="E57" s="295" t="s">
        <v>1</v>
      </c>
      <c r="F57" s="266"/>
      <c r="G57" s="266">
        <v>61800</v>
      </c>
      <c r="H57" s="267">
        <v>61800</v>
      </c>
      <c r="I57" s="267">
        <v>30900</v>
      </c>
      <c r="J57" s="248">
        <f>ROUND(H57/G57*100,1)</f>
        <v>100</v>
      </c>
      <c r="K57" s="26"/>
      <c r="M57" s="15"/>
      <c r="N57" s="15"/>
      <c r="O57" s="15"/>
      <c r="P57" s="15"/>
      <c r="Q57" s="15"/>
    </row>
    <row r="58" spans="1:17" s="14" customFormat="1" ht="15">
      <c r="A58" s="103"/>
      <c r="B58" s="12"/>
      <c r="C58" s="12" t="s">
        <v>18</v>
      </c>
      <c r="D58" s="305" t="s">
        <v>20</v>
      </c>
      <c r="E58" s="295" t="s">
        <v>1</v>
      </c>
      <c r="F58" s="306">
        <v>164000</v>
      </c>
      <c r="G58" s="306">
        <v>164000</v>
      </c>
      <c r="H58" s="307">
        <f>SUM(H59:H61)</f>
        <v>153063.72999999998</v>
      </c>
      <c r="I58" s="307">
        <f>SUM(I59:I61)</f>
        <v>0</v>
      </c>
      <c r="J58" s="248">
        <f>ROUND(H58/G58*100,1)</f>
        <v>93.3</v>
      </c>
      <c r="K58" s="26"/>
      <c r="M58" s="15"/>
      <c r="N58" s="15"/>
      <c r="O58" s="15"/>
      <c r="P58" s="15"/>
      <c r="Q58" s="15"/>
    </row>
    <row r="59" spans="1:17" s="14" customFormat="1" ht="15">
      <c r="A59" s="103"/>
      <c r="B59" s="12"/>
      <c r="C59" s="12"/>
      <c r="D59" s="304" t="s">
        <v>333</v>
      </c>
      <c r="E59" s="295"/>
      <c r="F59" s="306"/>
      <c r="G59" s="306"/>
      <c r="H59" s="267">
        <v>22162.21</v>
      </c>
      <c r="I59" s="267"/>
      <c r="J59" s="308"/>
      <c r="K59" s="26"/>
      <c r="M59" s="15"/>
      <c r="N59" s="15"/>
      <c r="O59" s="15"/>
      <c r="P59" s="15"/>
      <c r="Q59" s="15"/>
    </row>
    <row r="60" spans="1:17" s="14" customFormat="1" ht="15">
      <c r="A60" s="103"/>
      <c r="B60" s="12"/>
      <c r="C60" s="12"/>
      <c r="D60" s="304" t="s">
        <v>334</v>
      </c>
      <c r="E60" s="295"/>
      <c r="F60" s="306"/>
      <c r="G60" s="306"/>
      <c r="H60" s="267">
        <v>21575.1</v>
      </c>
      <c r="I60" s="267"/>
      <c r="J60" s="308"/>
      <c r="K60" s="26"/>
      <c r="M60" s="15"/>
      <c r="N60" s="15"/>
      <c r="O60" s="15"/>
      <c r="P60" s="15"/>
      <c r="Q60" s="15"/>
    </row>
    <row r="61" spans="1:17" s="14" customFormat="1" ht="15">
      <c r="A61" s="103"/>
      <c r="B61" s="12"/>
      <c r="C61" s="12"/>
      <c r="D61" s="304" t="s">
        <v>335</v>
      </c>
      <c r="E61" s="295"/>
      <c r="F61" s="306"/>
      <c r="G61" s="306"/>
      <c r="H61" s="267">
        <v>109326.42</v>
      </c>
      <c r="I61" s="267"/>
      <c r="J61" s="308"/>
      <c r="K61" s="26"/>
      <c r="M61" s="15"/>
      <c r="N61" s="15"/>
      <c r="O61" s="15"/>
      <c r="P61" s="15"/>
      <c r="Q61" s="15"/>
    </row>
    <row r="62" spans="1:17" s="14" customFormat="1" ht="15">
      <c r="A62" s="103"/>
      <c r="B62" s="12"/>
      <c r="C62" s="12" t="s">
        <v>18</v>
      </c>
      <c r="D62" s="305" t="s">
        <v>21</v>
      </c>
      <c r="E62" s="295" t="s">
        <v>1</v>
      </c>
      <c r="F62" s="306">
        <v>1209000</v>
      </c>
      <c r="G62" s="306">
        <f>1209000+110000+61075-110000</f>
        <v>1270075</v>
      </c>
      <c r="H62" s="307">
        <f>SUM(H63:H69)</f>
        <v>1050543.6099999999</v>
      </c>
      <c r="I62" s="307">
        <f>SUM(I63:I69)</f>
        <v>45560.81</v>
      </c>
      <c r="J62" s="248">
        <f>ROUND(H62/G62*100,1)</f>
        <v>82.7</v>
      </c>
      <c r="K62" s="26"/>
      <c r="M62" s="15"/>
      <c r="N62" s="15"/>
      <c r="O62" s="15"/>
      <c r="P62" s="15"/>
      <c r="Q62" s="15"/>
    </row>
    <row r="63" spans="1:17" s="14" customFormat="1" ht="15">
      <c r="A63" s="103"/>
      <c r="B63" s="12"/>
      <c r="C63" s="12"/>
      <c r="D63" s="304" t="s">
        <v>294</v>
      </c>
      <c r="E63" s="295"/>
      <c r="F63" s="306"/>
      <c r="G63" s="306"/>
      <c r="H63" s="267">
        <v>368678.09</v>
      </c>
      <c r="I63" s="267">
        <v>15239.84</v>
      </c>
      <c r="J63" s="308"/>
      <c r="K63" s="26"/>
      <c r="M63" s="15"/>
      <c r="N63" s="15"/>
      <c r="O63" s="15"/>
      <c r="P63" s="15"/>
      <c r="Q63" s="15"/>
    </row>
    <row r="64" spans="1:11" ht="15">
      <c r="A64" s="103"/>
      <c r="D64" s="304" t="s">
        <v>374</v>
      </c>
      <c r="E64" s="295"/>
      <c r="F64" s="306"/>
      <c r="G64" s="306"/>
      <c r="H64" s="267">
        <v>433667.91</v>
      </c>
      <c r="I64" s="267">
        <v>4929.98</v>
      </c>
      <c r="J64" s="308"/>
      <c r="K64" s="26"/>
    </row>
    <row r="65" spans="1:11" ht="15">
      <c r="A65" s="103"/>
      <c r="D65" s="304" t="s">
        <v>336</v>
      </c>
      <c r="E65" s="295"/>
      <c r="F65" s="306"/>
      <c r="G65" s="306"/>
      <c r="H65" s="267">
        <v>32376.24</v>
      </c>
      <c r="I65" s="267"/>
      <c r="J65" s="308"/>
      <c r="K65" s="26"/>
    </row>
    <row r="66" spans="1:11" ht="15">
      <c r="A66" s="103"/>
      <c r="D66" s="304" t="s">
        <v>395</v>
      </c>
      <c r="E66" s="295"/>
      <c r="F66" s="306"/>
      <c r="G66" s="306"/>
      <c r="H66" s="267">
        <v>64238.88</v>
      </c>
      <c r="I66" s="267"/>
      <c r="J66" s="308"/>
      <c r="K66" s="26"/>
    </row>
    <row r="67" spans="1:11" ht="15">
      <c r="A67" s="103"/>
      <c r="D67" s="304" t="s">
        <v>375</v>
      </c>
      <c r="E67" s="295"/>
      <c r="F67" s="306"/>
      <c r="G67" s="306"/>
      <c r="H67" s="267">
        <v>112590.6</v>
      </c>
      <c r="I67" s="267">
        <v>5760</v>
      </c>
      <c r="J67" s="308"/>
      <c r="K67" s="26"/>
    </row>
    <row r="68" spans="1:11" ht="15">
      <c r="A68" s="103"/>
      <c r="D68" s="304" t="s">
        <v>376</v>
      </c>
      <c r="E68" s="295"/>
      <c r="F68" s="306"/>
      <c r="G68" s="306"/>
      <c r="H68" s="267">
        <v>25191.89</v>
      </c>
      <c r="I68" s="267">
        <v>19630.99</v>
      </c>
      <c r="J68" s="308"/>
      <c r="K68" s="26"/>
    </row>
    <row r="69" spans="1:11" ht="15">
      <c r="A69" s="103"/>
      <c r="D69" s="304" t="s">
        <v>337</v>
      </c>
      <c r="E69" s="295"/>
      <c r="F69" s="306"/>
      <c r="G69" s="306"/>
      <c r="H69" s="267">
        <v>13800</v>
      </c>
      <c r="I69" s="267"/>
      <c r="J69" s="308"/>
      <c r="K69" s="26"/>
    </row>
    <row r="70" spans="1:14" s="14" customFormat="1" ht="15">
      <c r="A70" s="103"/>
      <c r="B70" s="12"/>
      <c r="C70" s="12" t="s">
        <v>18</v>
      </c>
      <c r="D70" s="305" t="s">
        <v>167</v>
      </c>
      <c r="E70" s="295" t="s">
        <v>1</v>
      </c>
      <c r="F70" s="306">
        <f>SUM(F71:F90)</f>
        <v>3749671</v>
      </c>
      <c r="G70" s="306">
        <f>SUM(G71:G90)</f>
        <v>2753611</v>
      </c>
      <c r="H70" s="306">
        <f>SUM(H71:H90)</f>
        <v>2035129.7600000002</v>
      </c>
      <c r="I70" s="306">
        <f>SUM(I71:I90)</f>
        <v>541422.17</v>
      </c>
      <c r="J70" s="248">
        <f aca="true" t="shared" si="1" ref="J70:J133">ROUND(H70/G70*100,1)</f>
        <v>73.9</v>
      </c>
      <c r="K70" s="26"/>
      <c r="M70" s="15"/>
      <c r="N70" s="15"/>
    </row>
    <row r="71" spans="1:14" s="14" customFormat="1" ht="15">
      <c r="A71" s="103"/>
      <c r="B71" s="12"/>
      <c r="C71" s="12"/>
      <c r="D71" s="304" t="s">
        <v>138</v>
      </c>
      <c r="E71" s="309"/>
      <c r="F71" s="266">
        <v>162486</v>
      </c>
      <c r="G71" s="266">
        <v>162486</v>
      </c>
      <c r="H71" s="267">
        <v>131196.68</v>
      </c>
      <c r="I71" s="267">
        <v>25536.26</v>
      </c>
      <c r="J71" s="248">
        <f t="shared" si="1"/>
        <v>80.7</v>
      </c>
      <c r="K71" s="26"/>
      <c r="M71" s="15"/>
      <c r="N71" s="15"/>
    </row>
    <row r="72" spans="1:14" s="14" customFormat="1" ht="15">
      <c r="A72" s="103"/>
      <c r="B72" s="12"/>
      <c r="C72" s="12"/>
      <c r="D72" s="310" t="s">
        <v>138</v>
      </c>
      <c r="E72" s="311"/>
      <c r="F72" s="299">
        <v>1083240</v>
      </c>
      <c r="G72" s="299">
        <f>1083240-400000</f>
        <v>683240</v>
      </c>
      <c r="H72" s="300">
        <v>590402.64</v>
      </c>
      <c r="I72" s="300">
        <v>141033.45</v>
      </c>
      <c r="J72" s="302">
        <f t="shared" si="1"/>
        <v>86.4</v>
      </c>
      <c r="K72" s="26"/>
      <c r="M72" s="15"/>
      <c r="N72" s="15"/>
    </row>
    <row r="73" spans="1:14" s="14" customFormat="1" ht="15">
      <c r="A73" s="103"/>
      <c r="B73" s="12"/>
      <c r="C73" s="12"/>
      <c r="D73" s="304" t="s">
        <v>168</v>
      </c>
      <c r="E73" s="285"/>
      <c r="F73" s="266">
        <v>133059</v>
      </c>
      <c r="G73" s="266">
        <v>133059</v>
      </c>
      <c r="H73" s="312">
        <v>105685.3</v>
      </c>
      <c r="I73" s="267">
        <v>2064</v>
      </c>
      <c r="J73" s="248">
        <f t="shared" si="1"/>
        <v>79.4</v>
      </c>
      <c r="K73" s="26"/>
      <c r="M73" s="15"/>
      <c r="N73" s="15"/>
    </row>
    <row r="74" spans="1:11" ht="15">
      <c r="A74" s="103"/>
      <c r="D74" s="310" t="s">
        <v>168</v>
      </c>
      <c r="E74" s="285"/>
      <c r="F74" s="299">
        <v>887060</v>
      </c>
      <c r="G74" s="299">
        <f>887060-887060</f>
        <v>0</v>
      </c>
      <c r="H74" s="300"/>
      <c r="I74" s="300"/>
      <c r="J74" s="302"/>
      <c r="K74" s="26"/>
    </row>
    <row r="75" spans="1:11" ht="15">
      <c r="A75" s="103"/>
      <c r="D75" s="304" t="s">
        <v>139</v>
      </c>
      <c r="E75" s="285"/>
      <c r="F75" s="266">
        <v>116586</v>
      </c>
      <c r="G75" s="266">
        <v>116586</v>
      </c>
      <c r="H75" s="267">
        <v>96239.21</v>
      </c>
      <c r="I75" s="267">
        <v>19860.74</v>
      </c>
      <c r="J75" s="248">
        <f t="shared" si="1"/>
        <v>82.5</v>
      </c>
      <c r="K75" s="26"/>
    </row>
    <row r="76" spans="1:11" ht="15">
      <c r="A76" s="103"/>
      <c r="D76" s="310" t="s">
        <v>139</v>
      </c>
      <c r="E76" s="285"/>
      <c r="F76" s="299">
        <v>777240</v>
      </c>
      <c r="G76" s="299">
        <v>777240</v>
      </c>
      <c r="H76" s="300">
        <v>394380.15</v>
      </c>
      <c r="I76" s="300">
        <v>84242.48</v>
      </c>
      <c r="J76" s="302">
        <f t="shared" si="1"/>
        <v>50.7</v>
      </c>
      <c r="K76" s="26"/>
    </row>
    <row r="77" spans="1:12" ht="15">
      <c r="A77" s="103"/>
      <c r="D77" s="304" t="s">
        <v>338</v>
      </c>
      <c r="E77" s="285"/>
      <c r="F77" s="266">
        <v>130000</v>
      </c>
      <c r="G77" s="266">
        <v>130000</v>
      </c>
      <c r="H77" s="267">
        <v>102617.76</v>
      </c>
      <c r="I77" s="267">
        <v>102617.76</v>
      </c>
      <c r="J77" s="248">
        <f t="shared" si="1"/>
        <v>78.9</v>
      </c>
      <c r="K77" s="26"/>
      <c r="L77" s="15"/>
    </row>
    <row r="78" spans="1:12" ht="15">
      <c r="A78" s="103"/>
      <c r="D78" s="313" t="s">
        <v>169</v>
      </c>
      <c r="E78" s="285"/>
      <c r="F78" s="266">
        <v>90000</v>
      </c>
      <c r="G78" s="266">
        <v>90000</v>
      </c>
      <c r="H78" s="267">
        <v>87505.2</v>
      </c>
      <c r="I78" s="267">
        <v>33968.08</v>
      </c>
      <c r="J78" s="248">
        <f t="shared" si="1"/>
        <v>97.2</v>
      </c>
      <c r="K78" s="26"/>
      <c r="L78" s="15"/>
    </row>
    <row r="79" spans="1:12" ht="15">
      <c r="A79" s="103"/>
      <c r="D79" s="304" t="s">
        <v>170</v>
      </c>
      <c r="E79" s="285"/>
      <c r="F79" s="266">
        <v>80000</v>
      </c>
      <c r="G79" s="266">
        <v>80000</v>
      </c>
      <c r="H79" s="267">
        <v>111798.83</v>
      </c>
      <c r="I79" s="267"/>
      <c r="J79" s="248">
        <f t="shared" si="1"/>
        <v>139.7</v>
      </c>
      <c r="K79" s="26"/>
      <c r="L79" s="15"/>
    </row>
    <row r="80" spans="1:12" ht="15">
      <c r="A80" s="103"/>
      <c r="D80" s="304" t="s">
        <v>171</v>
      </c>
      <c r="E80" s="285"/>
      <c r="F80" s="266">
        <v>70000</v>
      </c>
      <c r="G80" s="266">
        <v>70000</v>
      </c>
      <c r="H80" s="267">
        <v>49849.6</v>
      </c>
      <c r="I80" s="267">
        <v>4738.32</v>
      </c>
      <c r="J80" s="248">
        <f t="shared" si="1"/>
        <v>71.2</v>
      </c>
      <c r="K80" s="26"/>
      <c r="L80" s="15"/>
    </row>
    <row r="81" spans="1:12" ht="15">
      <c r="A81" s="103"/>
      <c r="D81" s="304" t="s">
        <v>172</v>
      </c>
      <c r="E81" s="285"/>
      <c r="F81" s="266">
        <v>70000</v>
      </c>
      <c r="G81" s="266">
        <v>70000</v>
      </c>
      <c r="H81" s="267">
        <v>91988.11</v>
      </c>
      <c r="I81" s="267">
        <v>62021.42</v>
      </c>
      <c r="J81" s="248">
        <f t="shared" si="1"/>
        <v>131.4</v>
      </c>
      <c r="K81" s="26"/>
      <c r="L81" s="15"/>
    </row>
    <row r="82" spans="1:12" ht="15">
      <c r="A82" s="103"/>
      <c r="D82" s="304" t="s">
        <v>295</v>
      </c>
      <c r="E82" s="285"/>
      <c r="F82" s="266"/>
      <c r="G82" s="266">
        <f>42924+6</f>
        <v>42930</v>
      </c>
      <c r="H82" s="267">
        <v>42924</v>
      </c>
      <c r="I82" s="267"/>
      <c r="J82" s="251">
        <f t="shared" si="1"/>
        <v>100</v>
      </c>
      <c r="K82" s="26"/>
      <c r="L82" s="15"/>
    </row>
    <row r="83" spans="1:12" ht="15">
      <c r="A83" s="103"/>
      <c r="D83" s="304" t="s">
        <v>296</v>
      </c>
      <c r="E83" s="285"/>
      <c r="F83" s="266"/>
      <c r="G83" s="266">
        <f>40026+4</f>
        <v>40030</v>
      </c>
      <c r="H83" s="267">
        <v>40026</v>
      </c>
      <c r="I83" s="267"/>
      <c r="J83" s="251">
        <f t="shared" si="1"/>
        <v>100</v>
      </c>
      <c r="K83" s="26"/>
      <c r="L83" s="15"/>
    </row>
    <row r="84" spans="1:12" ht="15">
      <c r="A84" s="103"/>
      <c r="B84" s="12" t="s">
        <v>18</v>
      </c>
      <c r="D84" s="304" t="s">
        <v>173</v>
      </c>
      <c r="E84" s="285"/>
      <c r="F84" s="266"/>
      <c r="G84" s="266">
        <v>14000</v>
      </c>
      <c r="H84" s="267">
        <v>13612.39</v>
      </c>
      <c r="I84" s="267"/>
      <c r="J84" s="251">
        <f t="shared" si="1"/>
        <v>97.2</v>
      </c>
      <c r="K84" s="26"/>
      <c r="L84" s="15"/>
    </row>
    <row r="85" spans="1:12" ht="15">
      <c r="A85" s="103"/>
      <c r="D85" s="304" t="s">
        <v>349</v>
      </c>
      <c r="E85" s="285"/>
      <c r="F85" s="266"/>
      <c r="G85" s="266">
        <v>249000</v>
      </c>
      <c r="H85" s="267">
        <v>27463.08</v>
      </c>
      <c r="I85" s="267">
        <v>4087.73</v>
      </c>
      <c r="J85" s="251">
        <f t="shared" si="1"/>
        <v>11</v>
      </c>
      <c r="K85" s="26"/>
      <c r="L85" s="15"/>
    </row>
    <row r="86" spans="1:12" ht="15">
      <c r="A86" s="103"/>
      <c r="D86" s="304" t="s">
        <v>350</v>
      </c>
      <c r="E86" s="285"/>
      <c r="F86" s="266"/>
      <c r="G86" s="266"/>
      <c r="H86" s="267">
        <v>61476.05</v>
      </c>
      <c r="I86" s="267">
        <v>54456.05</v>
      </c>
      <c r="J86" s="251"/>
      <c r="K86" s="26"/>
      <c r="L86" s="15" t="s">
        <v>209</v>
      </c>
    </row>
    <row r="87" spans="1:12" ht="15">
      <c r="A87" s="103"/>
      <c r="D87" s="304" t="s">
        <v>351</v>
      </c>
      <c r="E87" s="285"/>
      <c r="F87" s="266"/>
      <c r="G87" s="266">
        <v>12000</v>
      </c>
      <c r="H87" s="267">
        <v>11997.6</v>
      </c>
      <c r="I87" s="267"/>
      <c r="J87" s="251">
        <f t="shared" si="1"/>
        <v>100</v>
      </c>
      <c r="K87" s="26"/>
      <c r="L87" s="15"/>
    </row>
    <row r="88" spans="1:12" ht="15">
      <c r="A88" s="103"/>
      <c r="D88" s="304" t="s">
        <v>377</v>
      </c>
      <c r="E88" s="285"/>
      <c r="F88" s="266"/>
      <c r="G88" s="266"/>
      <c r="H88" s="267">
        <v>41661.16</v>
      </c>
      <c r="I88" s="267">
        <v>4395.88</v>
      </c>
      <c r="J88" s="251"/>
      <c r="K88" s="26"/>
      <c r="L88" s="15"/>
    </row>
    <row r="89" spans="1:12" ht="15">
      <c r="A89" s="103"/>
      <c r="D89" s="304" t="s">
        <v>277</v>
      </c>
      <c r="E89" s="285"/>
      <c r="F89" s="266"/>
      <c r="G89" s="266">
        <v>10000</v>
      </c>
      <c r="H89" s="267">
        <v>10000</v>
      </c>
      <c r="I89" s="267"/>
      <c r="J89" s="248">
        <f t="shared" si="1"/>
        <v>100</v>
      </c>
      <c r="K89" s="26"/>
      <c r="L89" s="15"/>
    </row>
    <row r="90" spans="1:12" ht="15">
      <c r="A90" s="103"/>
      <c r="C90" s="12" t="s">
        <v>18</v>
      </c>
      <c r="D90" s="304" t="s">
        <v>322</v>
      </c>
      <c r="E90" s="285"/>
      <c r="F90" s="266">
        <v>150000</v>
      </c>
      <c r="G90" s="266">
        <f>150000-82950+6000-10</f>
        <v>73040</v>
      </c>
      <c r="H90" s="267">
        <v>24306</v>
      </c>
      <c r="I90" s="267">
        <v>2400</v>
      </c>
      <c r="J90" s="248">
        <f t="shared" si="1"/>
        <v>33.3</v>
      </c>
      <c r="K90" s="26"/>
      <c r="L90" s="15"/>
    </row>
    <row r="91" spans="1:12" ht="15">
      <c r="A91" s="103"/>
      <c r="D91" s="304" t="s">
        <v>323</v>
      </c>
      <c r="E91" s="285"/>
      <c r="F91" s="266"/>
      <c r="G91" s="266">
        <v>6000</v>
      </c>
      <c r="H91" s="267"/>
      <c r="I91" s="267"/>
      <c r="J91" s="308">
        <f t="shared" si="1"/>
        <v>0</v>
      </c>
      <c r="K91" s="26"/>
      <c r="L91" s="15"/>
    </row>
    <row r="92" spans="1:12" ht="15">
      <c r="A92" s="103"/>
      <c r="D92" s="304" t="s">
        <v>324</v>
      </c>
      <c r="E92" s="285"/>
      <c r="F92" s="266"/>
      <c r="G92" s="266">
        <v>5040</v>
      </c>
      <c r="H92" s="267">
        <v>5040</v>
      </c>
      <c r="I92" s="267"/>
      <c r="J92" s="251">
        <f t="shared" si="1"/>
        <v>100</v>
      </c>
      <c r="K92" s="26"/>
      <c r="L92" s="15"/>
    </row>
    <row r="93" spans="1:12" ht="15">
      <c r="A93" s="103"/>
      <c r="D93" s="304" t="s">
        <v>325</v>
      </c>
      <c r="E93" s="285"/>
      <c r="F93" s="266"/>
      <c r="G93" s="266">
        <v>11832</v>
      </c>
      <c r="H93" s="267">
        <v>11832</v>
      </c>
      <c r="I93" s="267"/>
      <c r="J93" s="251">
        <f t="shared" si="1"/>
        <v>100</v>
      </c>
      <c r="K93" s="26"/>
      <c r="L93" s="15"/>
    </row>
    <row r="94" spans="1:12" ht="15">
      <c r="A94" s="103"/>
      <c r="D94" s="304" t="s">
        <v>339</v>
      </c>
      <c r="E94" s="285"/>
      <c r="F94" s="266"/>
      <c r="G94" s="266">
        <v>3600</v>
      </c>
      <c r="H94" s="267">
        <v>3594</v>
      </c>
      <c r="I94" s="267"/>
      <c r="J94" s="251">
        <f t="shared" si="1"/>
        <v>99.8</v>
      </c>
      <c r="K94" s="26"/>
      <c r="L94" s="15"/>
    </row>
    <row r="95" spans="1:11" ht="15">
      <c r="A95" s="103"/>
      <c r="C95" s="12" t="s">
        <v>18</v>
      </c>
      <c r="D95" s="314" t="s">
        <v>22</v>
      </c>
      <c r="E95" s="292" t="s">
        <v>1</v>
      </c>
      <c r="F95" s="306">
        <v>200000</v>
      </c>
      <c r="G95" s="306">
        <v>200000</v>
      </c>
      <c r="H95" s="307">
        <v>205214</v>
      </c>
      <c r="I95" s="307"/>
      <c r="J95" s="248">
        <f t="shared" si="1"/>
        <v>102.6</v>
      </c>
      <c r="K95" s="26"/>
    </row>
    <row r="96" spans="1:11" ht="15">
      <c r="A96" s="103"/>
      <c r="C96" s="12" t="s">
        <v>18</v>
      </c>
      <c r="D96" s="314" t="s">
        <v>23</v>
      </c>
      <c r="E96" s="295" t="s">
        <v>1</v>
      </c>
      <c r="F96" s="306">
        <v>100000</v>
      </c>
      <c r="G96" s="306">
        <f>100000+69000</f>
        <v>169000</v>
      </c>
      <c r="H96" s="307">
        <v>84700.4</v>
      </c>
      <c r="I96" s="307">
        <v>34460.54</v>
      </c>
      <c r="J96" s="248">
        <f t="shared" si="1"/>
        <v>50.1</v>
      </c>
      <c r="K96" s="26"/>
    </row>
    <row r="97" spans="1:11" ht="15">
      <c r="A97" s="103"/>
      <c r="C97" s="12" t="s">
        <v>18</v>
      </c>
      <c r="D97" s="315" t="s">
        <v>23</v>
      </c>
      <c r="E97" s="298" t="s">
        <v>1</v>
      </c>
      <c r="F97" s="316"/>
      <c r="G97" s="316">
        <v>35000</v>
      </c>
      <c r="H97" s="317">
        <v>19380.96</v>
      </c>
      <c r="I97" s="317"/>
      <c r="J97" s="302">
        <f t="shared" si="1"/>
        <v>55.4</v>
      </c>
      <c r="K97" s="26"/>
    </row>
    <row r="98" spans="1:11" ht="29.25">
      <c r="A98" s="103"/>
      <c r="C98" s="12" t="s">
        <v>18</v>
      </c>
      <c r="D98" s="318" t="s">
        <v>302</v>
      </c>
      <c r="E98" s="295" t="s">
        <v>1</v>
      </c>
      <c r="F98" s="319"/>
      <c r="G98" s="319">
        <v>11500</v>
      </c>
      <c r="H98" s="320">
        <v>19896</v>
      </c>
      <c r="I98" s="320"/>
      <c r="J98" s="251">
        <f t="shared" si="1"/>
        <v>173</v>
      </c>
      <c r="K98" s="26"/>
    </row>
    <row r="99" spans="1:11" ht="15">
      <c r="A99" s="103"/>
      <c r="C99" s="12" t="s">
        <v>18</v>
      </c>
      <c r="D99" s="321" t="s">
        <v>174</v>
      </c>
      <c r="E99" s="309"/>
      <c r="F99" s="319">
        <f>SUM(F100,F101)</f>
        <v>95000</v>
      </c>
      <c r="G99" s="319">
        <f>SUM(G100,G101)</f>
        <v>81000</v>
      </c>
      <c r="H99" s="319">
        <f>SUM(H100,H101)</f>
        <v>34476</v>
      </c>
      <c r="I99" s="319">
        <f>SUM(I100,I101)</f>
        <v>0</v>
      </c>
      <c r="J99" s="248">
        <f t="shared" si="1"/>
        <v>42.6</v>
      </c>
      <c r="K99" s="26"/>
    </row>
    <row r="100" spans="1:12" s="33" customFormat="1" ht="31.5" customHeight="1">
      <c r="A100" s="107"/>
      <c r="C100" s="12" t="s">
        <v>18</v>
      </c>
      <c r="D100" s="322" t="s">
        <v>175</v>
      </c>
      <c r="E100" s="309" t="s">
        <v>1</v>
      </c>
      <c r="F100" s="323">
        <v>45000</v>
      </c>
      <c r="G100" s="324">
        <f>45000-14000</f>
        <v>31000</v>
      </c>
      <c r="H100" s="325">
        <v>30996</v>
      </c>
      <c r="I100" s="325"/>
      <c r="J100" s="251">
        <f t="shared" si="1"/>
        <v>100</v>
      </c>
      <c r="K100" s="35"/>
      <c r="L100" s="36"/>
    </row>
    <row r="101" spans="1:12" s="33" customFormat="1" ht="31.5" customHeight="1">
      <c r="A101" s="107"/>
      <c r="C101" s="12" t="s">
        <v>18</v>
      </c>
      <c r="D101" s="322" t="s">
        <v>326</v>
      </c>
      <c r="E101" s="309" t="s">
        <v>1</v>
      </c>
      <c r="F101" s="323">
        <v>50000</v>
      </c>
      <c r="G101" s="324">
        <v>50000</v>
      </c>
      <c r="H101" s="324">
        <v>3480</v>
      </c>
      <c r="I101" s="324"/>
      <c r="J101" s="251">
        <f t="shared" si="1"/>
        <v>7</v>
      </c>
      <c r="K101" s="35"/>
      <c r="L101" s="36"/>
    </row>
    <row r="102" spans="1:12" s="33" customFormat="1" ht="31.5" customHeight="1">
      <c r="A102" s="107"/>
      <c r="C102" s="12"/>
      <c r="D102" s="321" t="s">
        <v>176</v>
      </c>
      <c r="E102" s="309"/>
      <c r="F102" s="323"/>
      <c r="G102" s="323">
        <f>SUM(G103:G105)</f>
        <v>11088</v>
      </c>
      <c r="H102" s="323">
        <f>SUM(H103:H105)</f>
        <v>11088</v>
      </c>
      <c r="I102" s="323"/>
      <c r="J102" s="251">
        <f t="shared" si="1"/>
        <v>100</v>
      </c>
      <c r="K102" s="35"/>
      <c r="L102" s="36"/>
    </row>
    <row r="103" spans="1:12" s="33" customFormat="1" ht="28.5" customHeight="1">
      <c r="A103" s="107"/>
      <c r="C103" s="12" t="s">
        <v>15</v>
      </c>
      <c r="D103" s="322" t="s">
        <v>177</v>
      </c>
      <c r="E103" s="309" t="s">
        <v>1</v>
      </c>
      <c r="F103" s="323"/>
      <c r="G103" s="326">
        <v>5088</v>
      </c>
      <c r="H103" s="325">
        <v>5088</v>
      </c>
      <c r="I103" s="325"/>
      <c r="J103" s="251">
        <f t="shared" si="1"/>
        <v>100</v>
      </c>
      <c r="K103" s="35"/>
      <c r="L103" s="36"/>
    </row>
    <row r="104" spans="1:12" s="33" customFormat="1" ht="28.5" customHeight="1">
      <c r="A104" s="107"/>
      <c r="C104" s="12" t="s">
        <v>18</v>
      </c>
      <c r="D104" s="322" t="s">
        <v>303</v>
      </c>
      <c r="E104" s="309" t="s">
        <v>1</v>
      </c>
      <c r="F104" s="323"/>
      <c r="G104" s="326">
        <f>15000-15000</f>
        <v>0</v>
      </c>
      <c r="H104" s="325">
        <f>8604-8604</f>
        <v>0</v>
      </c>
      <c r="I104" s="325"/>
      <c r="J104" s="251"/>
      <c r="K104" s="35"/>
      <c r="L104" s="36"/>
    </row>
    <row r="105" spans="1:12" s="33" customFormat="1" ht="28.5" customHeight="1">
      <c r="A105" s="107"/>
      <c r="C105" s="12" t="s">
        <v>18</v>
      </c>
      <c r="D105" s="322" t="s">
        <v>304</v>
      </c>
      <c r="E105" s="309" t="s">
        <v>1</v>
      </c>
      <c r="F105" s="323"/>
      <c r="G105" s="326">
        <v>6000</v>
      </c>
      <c r="H105" s="325">
        <v>6000</v>
      </c>
      <c r="I105" s="325"/>
      <c r="J105" s="251">
        <f t="shared" si="1"/>
        <v>100</v>
      </c>
      <c r="K105" s="35"/>
      <c r="L105" s="36"/>
    </row>
    <row r="106" spans="1:12" s="33" customFormat="1" ht="28.5" customHeight="1">
      <c r="A106" s="107"/>
      <c r="C106" s="466"/>
      <c r="D106" s="467" t="s">
        <v>378</v>
      </c>
      <c r="E106" s="468"/>
      <c r="F106" s="469"/>
      <c r="G106" s="470">
        <f>SUM(G107)</f>
        <v>12000</v>
      </c>
      <c r="H106" s="470">
        <f>SUM(H107)</f>
        <v>7500</v>
      </c>
      <c r="I106" s="491">
        <v>7500</v>
      </c>
      <c r="J106" s="492">
        <f t="shared" si="1"/>
        <v>62.5</v>
      </c>
      <c r="K106" s="35"/>
      <c r="L106" s="36"/>
    </row>
    <row r="107" spans="1:12" s="33" customFormat="1" ht="15">
      <c r="A107" s="107"/>
      <c r="C107" s="466" t="s">
        <v>379</v>
      </c>
      <c r="D107" s="471" t="s">
        <v>380</v>
      </c>
      <c r="E107" s="468" t="s">
        <v>1</v>
      </c>
      <c r="F107" s="469"/>
      <c r="G107" s="472">
        <v>12000</v>
      </c>
      <c r="H107" s="493">
        <v>7500</v>
      </c>
      <c r="I107" s="493">
        <v>7500</v>
      </c>
      <c r="J107" s="494">
        <f t="shared" si="1"/>
        <v>62.5</v>
      </c>
      <c r="K107" s="35"/>
      <c r="L107" s="36"/>
    </row>
    <row r="108" spans="1:12" s="33" customFormat="1" ht="19.5" customHeight="1">
      <c r="A108" s="107"/>
      <c r="D108" s="327" t="s">
        <v>352</v>
      </c>
      <c r="E108" s="328"/>
      <c r="F108" s="323">
        <f>SUM(F109:F110)</f>
        <v>110000</v>
      </c>
      <c r="G108" s="323">
        <f>SUM(G109:G110)</f>
        <v>110000</v>
      </c>
      <c r="H108" s="323">
        <f>SUM(H109:H110)</f>
        <v>110000</v>
      </c>
      <c r="I108" s="323"/>
      <c r="J108" s="329">
        <f t="shared" si="1"/>
        <v>100</v>
      </c>
      <c r="K108" s="35"/>
      <c r="L108" s="36"/>
    </row>
    <row r="109" spans="1:13" s="38" customFormat="1" ht="30" customHeight="1">
      <c r="A109" s="107"/>
      <c r="B109" s="33"/>
      <c r="C109" s="33" t="s">
        <v>178</v>
      </c>
      <c r="D109" s="330" t="s">
        <v>24</v>
      </c>
      <c r="E109" s="292" t="s">
        <v>3</v>
      </c>
      <c r="F109" s="331">
        <v>85000</v>
      </c>
      <c r="G109" s="331">
        <v>85000</v>
      </c>
      <c r="H109" s="332">
        <v>85000</v>
      </c>
      <c r="I109" s="332"/>
      <c r="J109" s="333">
        <f t="shared" si="1"/>
        <v>100</v>
      </c>
      <c r="K109" s="35"/>
      <c r="L109" s="37"/>
      <c r="M109" s="108"/>
    </row>
    <row r="110" spans="1:12" s="38" customFormat="1" ht="30">
      <c r="A110" s="107"/>
      <c r="B110" s="33"/>
      <c r="C110" s="33" t="s">
        <v>178</v>
      </c>
      <c r="D110" s="294" t="s">
        <v>179</v>
      </c>
      <c r="E110" s="295" t="s">
        <v>3</v>
      </c>
      <c r="F110" s="334">
        <v>25000</v>
      </c>
      <c r="G110" s="334">
        <v>25000</v>
      </c>
      <c r="H110" s="335">
        <v>25000</v>
      </c>
      <c r="I110" s="335"/>
      <c r="J110" s="251">
        <f t="shared" si="1"/>
        <v>100</v>
      </c>
      <c r="K110" s="35"/>
      <c r="L110" s="37"/>
    </row>
    <row r="111" spans="1:12" s="12" customFormat="1" ht="17.25" customHeight="1">
      <c r="A111" s="103"/>
      <c r="D111" s="321" t="s">
        <v>25</v>
      </c>
      <c r="E111" s="309"/>
      <c r="F111" s="270">
        <f>SUM(F112:F116)</f>
        <v>305000</v>
      </c>
      <c r="G111" s="270">
        <f>SUM(G112:G118)</f>
        <v>356912</v>
      </c>
      <c r="H111" s="270">
        <f>SUM(H112:H118)</f>
        <v>275380.77</v>
      </c>
      <c r="I111" s="270">
        <f>SUM(I112:I118)</f>
        <v>28544.46</v>
      </c>
      <c r="J111" s="329">
        <f t="shared" si="1"/>
        <v>77.2</v>
      </c>
      <c r="K111" s="26"/>
      <c r="L111" s="34"/>
    </row>
    <row r="112" spans="1:11" ht="30">
      <c r="A112" s="103"/>
      <c r="C112" s="12" t="s">
        <v>15</v>
      </c>
      <c r="D112" s="330" t="s">
        <v>180</v>
      </c>
      <c r="E112" s="292" t="s">
        <v>1</v>
      </c>
      <c r="F112" s="245">
        <v>120000</v>
      </c>
      <c r="G112" s="245">
        <v>120000</v>
      </c>
      <c r="H112" s="265">
        <v>119999.08</v>
      </c>
      <c r="I112" s="265">
        <v>19130</v>
      </c>
      <c r="J112" s="333">
        <f t="shared" si="1"/>
        <v>100</v>
      </c>
      <c r="K112" s="26"/>
    </row>
    <row r="113" spans="1:11" ht="15">
      <c r="A113" s="103"/>
      <c r="C113" s="12" t="s">
        <v>15</v>
      </c>
      <c r="D113" s="294" t="s">
        <v>26</v>
      </c>
      <c r="E113" s="295" t="s">
        <v>1</v>
      </c>
      <c r="F113" s="266">
        <v>50000</v>
      </c>
      <c r="G113" s="266">
        <f>50000-25000</f>
        <v>25000</v>
      </c>
      <c r="H113" s="267">
        <v>24313.18</v>
      </c>
      <c r="I113" s="267"/>
      <c r="J113" s="248">
        <f t="shared" si="1"/>
        <v>97.3</v>
      </c>
      <c r="K113" s="26"/>
    </row>
    <row r="114" spans="1:11" ht="15">
      <c r="A114" s="103"/>
      <c r="C114" s="12" t="s">
        <v>15</v>
      </c>
      <c r="D114" s="294" t="s">
        <v>27</v>
      </c>
      <c r="E114" s="295" t="s">
        <v>1</v>
      </c>
      <c r="F114" s="266">
        <v>50000</v>
      </c>
      <c r="G114" s="266">
        <v>50000</v>
      </c>
      <c r="H114" s="267">
        <v>45067.31</v>
      </c>
      <c r="I114" s="267">
        <v>4422.46</v>
      </c>
      <c r="J114" s="248">
        <f t="shared" si="1"/>
        <v>90.1</v>
      </c>
      <c r="K114" s="26"/>
    </row>
    <row r="115" spans="1:11" ht="15">
      <c r="A115" s="103"/>
      <c r="C115" s="12" t="s">
        <v>15</v>
      </c>
      <c r="D115" s="294" t="s">
        <v>181</v>
      </c>
      <c r="E115" s="295" t="s">
        <v>1</v>
      </c>
      <c r="F115" s="266">
        <v>70000</v>
      </c>
      <c r="G115" s="266">
        <v>70000</v>
      </c>
      <c r="H115" s="267"/>
      <c r="I115" s="267"/>
      <c r="J115" s="308">
        <f t="shared" si="1"/>
        <v>0</v>
      </c>
      <c r="K115" s="26"/>
    </row>
    <row r="116" spans="1:11" ht="15">
      <c r="A116" s="103"/>
      <c r="C116" s="12" t="s">
        <v>15</v>
      </c>
      <c r="D116" s="322" t="s">
        <v>182</v>
      </c>
      <c r="E116" s="309" t="s">
        <v>1</v>
      </c>
      <c r="F116" s="336">
        <v>15000</v>
      </c>
      <c r="G116" s="336">
        <v>15000</v>
      </c>
      <c r="H116" s="337">
        <v>15613.2</v>
      </c>
      <c r="I116" s="337"/>
      <c r="J116" s="329">
        <f t="shared" si="1"/>
        <v>104.1</v>
      </c>
      <c r="K116" s="40"/>
    </row>
    <row r="117" spans="1:11" ht="30">
      <c r="A117" s="103"/>
      <c r="C117" s="12" t="s">
        <v>16</v>
      </c>
      <c r="D117" s="297" t="s">
        <v>327</v>
      </c>
      <c r="E117" s="298" t="s">
        <v>1</v>
      </c>
      <c r="F117" s="299"/>
      <c r="G117" s="299">
        <f>994477-935777</f>
        <v>58700</v>
      </c>
      <c r="H117" s="300">
        <v>52176</v>
      </c>
      <c r="I117" s="300">
        <v>4992</v>
      </c>
      <c r="J117" s="338">
        <f t="shared" si="1"/>
        <v>88.9</v>
      </c>
      <c r="K117" s="26"/>
    </row>
    <row r="118" spans="1:11" ht="15">
      <c r="A118" s="112"/>
      <c r="B118" s="39"/>
      <c r="C118" s="12" t="s">
        <v>40</v>
      </c>
      <c r="D118" s="339" t="s">
        <v>281</v>
      </c>
      <c r="E118" s="340" t="s">
        <v>1</v>
      </c>
      <c r="F118" s="341"/>
      <c r="G118" s="341">
        <f>13967+4245</f>
        <v>18212</v>
      </c>
      <c r="H118" s="342">
        <v>18212</v>
      </c>
      <c r="I118" s="342"/>
      <c r="J118" s="255">
        <f t="shared" si="1"/>
        <v>100</v>
      </c>
      <c r="K118" s="26"/>
    </row>
    <row r="119" spans="1:12" s="21" customFormat="1" ht="24" customHeight="1">
      <c r="A119" s="105"/>
      <c r="B119" s="22"/>
      <c r="C119" s="22"/>
      <c r="D119" s="256" t="s">
        <v>183</v>
      </c>
      <c r="E119" s="257"/>
      <c r="F119" s="258">
        <f>SUM(F120,F121,F122,F135)</f>
        <v>507541</v>
      </c>
      <c r="G119" s="258">
        <f>SUM(G120,G121,G122,G134)</f>
        <v>470866</v>
      </c>
      <c r="H119" s="258">
        <f>SUM(H120,H121,H122,H134)</f>
        <v>374762</v>
      </c>
      <c r="I119" s="258">
        <f>SUM(I120,I121,I122,I134)</f>
        <v>51945.2</v>
      </c>
      <c r="J119" s="258">
        <f t="shared" si="1"/>
        <v>79.6</v>
      </c>
      <c r="K119" s="32"/>
      <c r="L119" s="41"/>
    </row>
    <row r="120" spans="1:12" s="21" customFormat="1" ht="30">
      <c r="A120" s="102"/>
      <c r="C120" s="21" t="s">
        <v>18</v>
      </c>
      <c r="D120" s="343" t="s">
        <v>353</v>
      </c>
      <c r="E120" s="344" t="s">
        <v>3</v>
      </c>
      <c r="F120" s="345">
        <v>32000</v>
      </c>
      <c r="G120" s="345">
        <f>32000+16000</f>
        <v>48000</v>
      </c>
      <c r="H120" s="345">
        <v>47393.3</v>
      </c>
      <c r="I120" s="345">
        <v>20000</v>
      </c>
      <c r="J120" s="246">
        <f t="shared" si="1"/>
        <v>98.7</v>
      </c>
      <c r="K120" s="23"/>
      <c r="L120" s="41"/>
    </row>
    <row r="121" spans="1:12" s="42" customFormat="1" ht="30" customHeight="1">
      <c r="A121" s="109"/>
      <c r="C121" s="42" t="s">
        <v>18</v>
      </c>
      <c r="D121" s="346" t="s">
        <v>354</v>
      </c>
      <c r="E121" s="344" t="s">
        <v>3</v>
      </c>
      <c r="F121" s="347">
        <v>12000</v>
      </c>
      <c r="G121" s="347">
        <v>12000</v>
      </c>
      <c r="H121" s="348">
        <v>12000</v>
      </c>
      <c r="I121" s="348"/>
      <c r="J121" s="248">
        <f t="shared" si="1"/>
        <v>100</v>
      </c>
      <c r="K121" s="43"/>
      <c r="L121" s="44"/>
    </row>
    <row r="122" spans="1:12" s="12" customFormat="1" ht="18" customHeight="1">
      <c r="A122" s="103"/>
      <c r="D122" s="349" t="s">
        <v>355</v>
      </c>
      <c r="E122" s="350"/>
      <c r="F122" s="270">
        <f>SUM(F123:F133)</f>
        <v>425859</v>
      </c>
      <c r="G122" s="270">
        <f>SUM(G123:G133)</f>
        <v>373184</v>
      </c>
      <c r="H122" s="270">
        <f>SUM(H123:H133)</f>
        <v>280307.9</v>
      </c>
      <c r="I122" s="270">
        <f>SUM(I123:I133)</f>
        <v>31945.199999999997</v>
      </c>
      <c r="J122" s="271">
        <f t="shared" si="1"/>
        <v>75.1</v>
      </c>
      <c r="K122" s="26"/>
      <c r="L122" s="34"/>
    </row>
    <row r="123" spans="1:11" ht="16.5" customHeight="1">
      <c r="A123" s="103"/>
      <c r="C123" s="12" t="s">
        <v>18</v>
      </c>
      <c r="D123" s="243" t="s">
        <v>184</v>
      </c>
      <c r="E123" s="264" t="s">
        <v>3</v>
      </c>
      <c r="F123" s="245">
        <v>6500</v>
      </c>
      <c r="G123" s="245">
        <v>6500</v>
      </c>
      <c r="H123" s="265">
        <v>6500</v>
      </c>
      <c r="I123" s="265"/>
      <c r="J123" s="246">
        <f t="shared" si="1"/>
        <v>100</v>
      </c>
      <c r="K123" s="26"/>
    </row>
    <row r="124" spans="1:11" ht="15">
      <c r="A124" s="103"/>
      <c r="C124" s="12" t="s">
        <v>18</v>
      </c>
      <c r="D124" s="351" t="s">
        <v>185</v>
      </c>
      <c r="E124" s="250" t="s">
        <v>1</v>
      </c>
      <c r="F124" s="266">
        <v>16713</v>
      </c>
      <c r="G124" s="266">
        <v>16713</v>
      </c>
      <c r="H124" s="267">
        <v>8326.15</v>
      </c>
      <c r="I124" s="267">
        <v>4320</v>
      </c>
      <c r="J124" s="248">
        <f t="shared" si="1"/>
        <v>49.8</v>
      </c>
      <c r="K124" s="26"/>
    </row>
    <row r="125" spans="1:11" ht="15">
      <c r="A125" s="103"/>
      <c r="C125" s="12" t="s">
        <v>18</v>
      </c>
      <c r="D125" s="352" t="s">
        <v>185</v>
      </c>
      <c r="E125" s="353" t="s">
        <v>1</v>
      </c>
      <c r="F125" s="299">
        <v>124646</v>
      </c>
      <c r="G125" s="299">
        <v>124646</v>
      </c>
      <c r="H125" s="300">
        <v>29382.65</v>
      </c>
      <c r="I125" s="300"/>
      <c r="J125" s="302">
        <f t="shared" si="1"/>
        <v>23.6</v>
      </c>
      <c r="K125" s="26"/>
    </row>
    <row r="126" spans="1:11" ht="15">
      <c r="A126" s="103"/>
      <c r="C126" s="12" t="s">
        <v>18</v>
      </c>
      <c r="D126" s="351" t="s">
        <v>186</v>
      </c>
      <c r="E126" s="250" t="s">
        <v>1</v>
      </c>
      <c r="F126" s="266">
        <v>45000</v>
      </c>
      <c r="G126" s="266">
        <f>45000-14000</f>
        <v>31000</v>
      </c>
      <c r="H126" s="267">
        <v>30057.96</v>
      </c>
      <c r="I126" s="267"/>
      <c r="J126" s="248">
        <f t="shared" si="1"/>
        <v>97</v>
      </c>
      <c r="K126" s="26"/>
    </row>
    <row r="127" spans="1:11" ht="15">
      <c r="A127" s="103"/>
      <c r="C127" s="12" t="s">
        <v>18</v>
      </c>
      <c r="D127" s="351" t="s">
        <v>187</v>
      </c>
      <c r="E127" s="250" t="s">
        <v>1</v>
      </c>
      <c r="F127" s="266">
        <v>25000</v>
      </c>
      <c r="G127" s="266">
        <v>25000</v>
      </c>
      <c r="H127" s="267">
        <v>35015.34</v>
      </c>
      <c r="I127" s="267">
        <v>9242.4</v>
      </c>
      <c r="J127" s="248">
        <f t="shared" si="1"/>
        <v>140.1</v>
      </c>
      <c r="K127" s="26"/>
    </row>
    <row r="128" spans="1:11" ht="15">
      <c r="A128" s="103"/>
      <c r="C128" s="12" t="s">
        <v>18</v>
      </c>
      <c r="D128" s="351" t="s">
        <v>188</v>
      </c>
      <c r="E128" s="250" t="s">
        <v>1</v>
      </c>
      <c r="F128" s="266">
        <v>15000</v>
      </c>
      <c r="G128" s="266">
        <v>15000</v>
      </c>
      <c r="H128" s="267">
        <v>14446.8</v>
      </c>
      <c r="I128" s="267">
        <v>10498.8</v>
      </c>
      <c r="J128" s="248">
        <f t="shared" si="1"/>
        <v>96.3</v>
      </c>
      <c r="K128" s="26"/>
    </row>
    <row r="129" spans="1:11" ht="15">
      <c r="A129" s="103"/>
      <c r="C129" s="12" t="s">
        <v>18</v>
      </c>
      <c r="D129" s="351" t="s">
        <v>189</v>
      </c>
      <c r="E129" s="250" t="s">
        <v>1</v>
      </c>
      <c r="F129" s="266">
        <v>35000</v>
      </c>
      <c r="G129" s="266">
        <v>35000</v>
      </c>
      <c r="H129" s="267">
        <v>35704.8</v>
      </c>
      <c r="I129" s="267"/>
      <c r="J129" s="248">
        <f t="shared" si="1"/>
        <v>102</v>
      </c>
      <c r="K129" s="26"/>
    </row>
    <row r="130" spans="1:11" ht="15">
      <c r="A130" s="103"/>
      <c r="C130" s="12" t="s">
        <v>18</v>
      </c>
      <c r="D130" s="351" t="s">
        <v>340</v>
      </c>
      <c r="E130" s="250" t="s">
        <v>1</v>
      </c>
      <c r="F130" s="266">
        <v>70000</v>
      </c>
      <c r="G130" s="266">
        <f>70000-46000</f>
        <v>24000</v>
      </c>
      <c r="H130" s="267">
        <v>23617.2</v>
      </c>
      <c r="I130" s="267"/>
      <c r="J130" s="248">
        <f t="shared" si="1"/>
        <v>98.4</v>
      </c>
      <c r="K130" s="26"/>
    </row>
    <row r="131" spans="1:11" ht="15">
      <c r="A131" s="103"/>
      <c r="C131" s="12" t="s">
        <v>18</v>
      </c>
      <c r="D131" s="351" t="s">
        <v>341</v>
      </c>
      <c r="E131" s="250" t="s">
        <v>3</v>
      </c>
      <c r="F131" s="266"/>
      <c r="G131" s="266">
        <v>7325</v>
      </c>
      <c r="H131" s="267">
        <v>7325</v>
      </c>
      <c r="I131" s="267"/>
      <c r="J131" s="251">
        <f t="shared" si="1"/>
        <v>100</v>
      </c>
      <c r="K131" s="26"/>
    </row>
    <row r="132" spans="1:11" ht="15">
      <c r="A132" s="103"/>
      <c r="C132" s="12" t="s">
        <v>18</v>
      </c>
      <c r="D132" s="351" t="s">
        <v>190</v>
      </c>
      <c r="E132" s="250" t="s">
        <v>1</v>
      </c>
      <c r="F132" s="266">
        <v>15000</v>
      </c>
      <c r="G132" s="266">
        <v>15000</v>
      </c>
      <c r="H132" s="267">
        <v>15012</v>
      </c>
      <c r="I132" s="267">
        <v>7884</v>
      </c>
      <c r="J132" s="248">
        <f t="shared" si="1"/>
        <v>100.1</v>
      </c>
      <c r="K132" s="26"/>
    </row>
    <row r="133" spans="1:12" s="25" customFormat="1" ht="29.25" customHeight="1">
      <c r="A133" s="102"/>
      <c r="B133" s="21"/>
      <c r="C133" s="12" t="s">
        <v>18</v>
      </c>
      <c r="D133" s="354" t="s">
        <v>191</v>
      </c>
      <c r="E133" s="355" t="s">
        <v>1</v>
      </c>
      <c r="F133" s="356">
        <v>73000</v>
      </c>
      <c r="G133" s="356">
        <v>73000</v>
      </c>
      <c r="H133" s="357">
        <v>74920</v>
      </c>
      <c r="I133" s="357"/>
      <c r="J133" s="248">
        <f t="shared" si="1"/>
        <v>102.6</v>
      </c>
      <c r="K133" s="23"/>
      <c r="L133" s="24"/>
    </row>
    <row r="134" spans="1:12" s="25" customFormat="1" ht="29.25" customHeight="1">
      <c r="A134" s="102"/>
      <c r="B134" s="21"/>
      <c r="C134" s="12"/>
      <c r="D134" s="346" t="s">
        <v>356</v>
      </c>
      <c r="E134" s="358"/>
      <c r="F134" s="359"/>
      <c r="G134" s="360">
        <f>SUM(G135,G136)</f>
        <v>37682</v>
      </c>
      <c r="H134" s="360">
        <f>SUM(H135,H136)</f>
        <v>35060.8</v>
      </c>
      <c r="I134" s="360"/>
      <c r="J134" s="308">
        <f>ROUND(H134/G134*100,1)</f>
        <v>93</v>
      </c>
      <c r="K134" s="23"/>
      <c r="L134" s="24"/>
    </row>
    <row r="135" spans="1:12" s="21" customFormat="1" ht="30.75" customHeight="1">
      <c r="A135" s="104"/>
      <c r="B135" s="27"/>
      <c r="C135" s="33" t="s">
        <v>18</v>
      </c>
      <c r="D135" s="361" t="s">
        <v>328</v>
      </c>
      <c r="E135" s="362" t="s">
        <v>1</v>
      </c>
      <c r="F135" s="363">
        <v>37682</v>
      </c>
      <c r="G135" s="364">
        <v>37682</v>
      </c>
      <c r="H135" s="365">
        <v>35060.8</v>
      </c>
      <c r="I135" s="365"/>
      <c r="J135" s="366">
        <f>ROUND(H135/G135*100,1)</f>
        <v>93</v>
      </c>
      <c r="K135" s="28"/>
      <c r="L135" s="41"/>
    </row>
    <row r="136" spans="1:12" s="21" customFormat="1" ht="30.75" customHeight="1">
      <c r="A136" s="102"/>
      <c r="C136" s="27" t="s">
        <v>18</v>
      </c>
      <c r="D136" s="367" t="s">
        <v>329</v>
      </c>
      <c r="E136" s="368" t="s">
        <v>1</v>
      </c>
      <c r="F136" s="369"/>
      <c r="G136" s="370"/>
      <c r="H136" s="371"/>
      <c r="I136" s="371"/>
      <c r="J136" s="372"/>
      <c r="K136" s="23"/>
      <c r="L136" s="41"/>
    </row>
    <row r="137" spans="1:12" s="21" customFormat="1" ht="24" customHeight="1">
      <c r="A137" s="105"/>
      <c r="B137" s="22"/>
      <c r="C137" s="22"/>
      <c r="D137" s="256" t="s">
        <v>192</v>
      </c>
      <c r="E137" s="257"/>
      <c r="F137" s="258">
        <f>SUM(F138,F147,F156)</f>
        <v>674000</v>
      </c>
      <c r="G137" s="258">
        <f>SUM(G138,G147,G156)</f>
        <v>904028</v>
      </c>
      <c r="H137" s="258">
        <f>SUM(H138,H147,H156)</f>
        <v>673164.07</v>
      </c>
      <c r="I137" s="258">
        <f>SUM(I138,I147,I156)</f>
        <v>258523.57000000004</v>
      </c>
      <c r="J137" s="262">
        <f>ROUND(H137/G137*100,1)</f>
        <v>74.5</v>
      </c>
      <c r="K137" s="32"/>
      <c r="L137" s="41"/>
    </row>
    <row r="138" spans="1:12" s="12" customFormat="1" ht="17.25" customHeight="1">
      <c r="A138" s="103"/>
      <c r="D138" s="373" t="s">
        <v>29</v>
      </c>
      <c r="E138" s="285"/>
      <c r="F138" s="261">
        <f>SUM(F139:F140)</f>
        <v>340000</v>
      </c>
      <c r="G138" s="261">
        <f>SUM(G139:G140)</f>
        <v>515000</v>
      </c>
      <c r="H138" s="261">
        <f>SUM(H139:H140)</f>
        <v>332578.33999999997</v>
      </c>
      <c r="I138" s="261">
        <f>SUM(I139:I140)</f>
        <v>132453.48</v>
      </c>
      <c r="J138" s="278">
        <f>ROUND(H138/G138*100,1)</f>
        <v>64.6</v>
      </c>
      <c r="K138" s="26"/>
      <c r="L138" s="34"/>
    </row>
    <row r="139" spans="1:16" ht="16.5" customHeight="1">
      <c r="A139" s="103"/>
      <c r="C139" s="12" t="s">
        <v>15</v>
      </c>
      <c r="D139" s="330" t="s">
        <v>30</v>
      </c>
      <c r="E139" s="292" t="s">
        <v>1</v>
      </c>
      <c r="F139" s="245">
        <v>60000</v>
      </c>
      <c r="G139" s="245">
        <f>60000+75000+70000</f>
        <v>205000</v>
      </c>
      <c r="H139" s="265">
        <v>190856.47</v>
      </c>
      <c r="I139" s="265">
        <v>98598.08</v>
      </c>
      <c r="J139" s="246">
        <f>ROUND(H139/G139*100,1)</f>
        <v>93.1</v>
      </c>
      <c r="K139" s="26"/>
      <c r="M139" s="88"/>
      <c r="N139" s="88"/>
      <c r="O139" s="88"/>
      <c r="P139" s="88"/>
    </row>
    <row r="140" spans="1:11" ht="15">
      <c r="A140" s="103"/>
      <c r="C140" s="12" t="s">
        <v>15</v>
      </c>
      <c r="D140" s="322" t="s">
        <v>193</v>
      </c>
      <c r="E140" s="309" t="s">
        <v>1</v>
      </c>
      <c r="F140" s="336">
        <v>280000</v>
      </c>
      <c r="G140" s="336">
        <f>280000+30000</f>
        <v>310000</v>
      </c>
      <c r="H140" s="337">
        <v>141721.87</v>
      </c>
      <c r="I140" s="337">
        <v>33855.4</v>
      </c>
      <c r="J140" s="329">
        <f>ROUND(H140/G140*100,1)</f>
        <v>45.7</v>
      </c>
      <c r="K140" s="26"/>
    </row>
    <row r="141" spans="1:16" s="50" customFormat="1" ht="14.25">
      <c r="A141" s="110"/>
      <c r="B141" s="45"/>
      <c r="C141" s="45"/>
      <c r="D141" s="46" t="s">
        <v>194</v>
      </c>
      <c r="E141" s="374"/>
      <c r="F141" s="47"/>
      <c r="G141" s="47"/>
      <c r="H141" s="119"/>
      <c r="I141" s="119"/>
      <c r="J141" s="262"/>
      <c r="K141" s="48"/>
      <c r="L141" s="49"/>
      <c r="M141" s="111"/>
      <c r="N141" s="111"/>
      <c r="O141" s="111"/>
      <c r="P141" s="111"/>
    </row>
    <row r="142" spans="1:12" s="50" customFormat="1" ht="14.25">
      <c r="A142" s="110"/>
      <c r="B142" s="45"/>
      <c r="C142" s="45"/>
      <c r="D142" s="46" t="s">
        <v>195</v>
      </c>
      <c r="E142" s="374"/>
      <c r="F142" s="47"/>
      <c r="G142" s="47"/>
      <c r="H142" s="119"/>
      <c r="I142" s="119"/>
      <c r="J142" s="262"/>
      <c r="K142" s="48"/>
      <c r="L142" s="49"/>
    </row>
    <row r="143" spans="1:12" s="50" customFormat="1" ht="14.25">
      <c r="A143" s="110"/>
      <c r="B143" s="45"/>
      <c r="C143" s="45"/>
      <c r="D143" s="46" t="s">
        <v>196</v>
      </c>
      <c r="E143" s="374"/>
      <c r="F143" s="47"/>
      <c r="G143" s="47"/>
      <c r="H143" s="119"/>
      <c r="I143" s="119"/>
      <c r="J143" s="262"/>
      <c r="K143" s="48"/>
      <c r="L143" s="49"/>
    </row>
    <row r="144" spans="1:12" s="50" customFormat="1" ht="14.25">
      <c r="A144" s="110"/>
      <c r="B144" s="45"/>
      <c r="C144" s="45"/>
      <c r="D144" s="46" t="s">
        <v>197</v>
      </c>
      <c r="E144" s="374"/>
      <c r="F144" s="47"/>
      <c r="G144" s="47"/>
      <c r="H144" s="119"/>
      <c r="I144" s="119"/>
      <c r="J144" s="262"/>
      <c r="K144" s="48"/>
      <c r="L144" s="49"/>
    </row>
    <row r="145" spans="1:12" s="50" customFormat="1" ht="14.25">
      <c r="A145" s="110"/>
      <c r="B145" s="45"/>
      <c r="C145" s="45"/>
      <c r="D145" s="46" t="s">
        <v>198</v>
      </c>
      <c r="E145" s="374"/>
      <c r="F145" s="47"/>
      <c r="G145" s="47"/>
      <c r="H145" s="119"/>
      <c r="I145" s="119"/>
      <c r="J145" s="262"/>
      <c r="K145" s="48"/>
      <c r="L145" s="49"/>
    </row>
    <row r="146" spans="1:11" ht="13.5" customHeight="1">
      <c r="A146" s="103"/>
      <c r="D146" s="46" t="s">
        <v>199</v>
      </c>
      <c r="E146" s="292"/>
      <c r="F146" s="245"/>
      <c r="G146" s="276"/>
      <c r="H146" s="265"/>
      <c r="I146" s="265"/>
      <c r="J146" s="375"/>
      <c r="K146" s="26"/>
    </row>
    <row r="147" spans="1:12" s="12" customFormat="1" ht="17.25" customHeight="1">
      <c r="A147" s="103"/>
      <c r="D147" s="321" t="s">
        <v>31</v>
      </c>
      <c r="E147" s="328"/>
      <c r="F147" s="270">
        <f>SUM(F148:F155)</f>
        <v>288000</v>
      </c>
      <c r="G147" s="270">
        <f>SUM(G148:G155)</f>
        <v>271800</v>
      </c>
      <c r="H147" s="270">
        <f>SUM(H148:H155)</f>
        <v>225045.64</v>
      </c>
      <c r="I147" s="270">
        <f>SUM(I148:I155)</f>
        <v>105321.8</v>
      </c>
      <c r="J147" s="329">
        <f>ROUND(H147/G147*100,1)</f>
        <v>82.8</v>
      </c>
      <c r="K147" s="26"/>
      <c r="L147" s="34"/>
    </row>
    <row r="148" spans="1:11" ht="16.5" customHeight="1">
      <c r="A148" s="103"/>
      <c r="C148" s="12" t="s">
        <v>18</v>
      </c>
      <c r="D148" s="330" t="s">
        <v>200</v>
      </c>
      <c r="E148" s="292" t="s">
        <v>1</v>
      </c>
      <c r="F148" s="245">
        <v>96000</v>
      </c>
      <c r="G148" s="245">
        <v>96000</v>
      </c>
      <c r="H148" s="265">
        <v>95880</v>
      </c>
      <c r="I148" s="265"/>
      <c r="J148" s="246">
        <f>ROUND(H148/G148*100,1)</f>
        <v>99.9</v>
      </c>
      <c r="K148" s="26"/>
    </row>
    <row r="149" spans="1:11" ht="15">
      <c r="A149" s="103"/>
      <c r="C149" s="12" t="s">
        <v>18</v>
      </c>
      <c r="D149" s="294" t="s">
        <v>32</v>
      </c>
      <c r="E149" s="295" t="s">
        <v>1</v>
      </c>
      <c r="F149" s="266">
        <f>20000+35000</f>
        <v>55000</v>
      </c>
      <c r="G149" s="266">
        <f>20000+35000</f>
        <v>55000</v>
      </c>
      <c r="H149" s="267">
        <v>12256.7</v>
      </c>
      <c r="I149" s="267">
        <v>12265.7</v>
      </c>
      <c r="J149" s="329">
        <f>ROUND(H149/G149*100,1)</f>
        <v>22.3</v>
      </c>
      <c r="K149" s="26"/>
    </row>
    <row r="150" spans="1:11" ht="15">
      <c r="A150" s="103"/>
      <c r="C150" s="12" t="s">
        <v>18</v>
      </c>
      <c r="D150" s="294" t="s">
        <v>342</v>
      </c>
      <c r="E150" s="295" t="s">
        <v>1</v>
      </c>
      <c r="F150" s="266">
        <v>50000</v>
      </c>
      <c r="G150" s="266">
        <v>50000</v>
      </c>
      <c r="H150" s="267">
        <v>50497</v>
      </c>
      <c r="I150" s="267">
        <v>39754</v>
      </c>
      <c r="J150" s="329">
        <f>ROUND(H150/G150*100,1)</f>
        <v>101</v>
      </c>
      <c r="K150" s="26"/>
    </row>
    <row r="151" spans="1:11" ht="30">
      <c r="A151" s="103"/>
      <c r="C151" s="12" t="s">
        <v>18</v>
      </c>
      <c r="D151" s="294" t="s">
        <v>201</v>
      </c>
      <c r="E151" s="295" t="s">
        <v>1</v>
      </c>
      <c r="F151" s="266">
        <v>45000</v>
      </c>
      <c r="G151" s="266">
        <f>45000-45000</f>
        <v>0</v>
      </c>
      <c r="H151" s="267"/>
      <c r="I151" s="267"/>
      <c r="J151" s="308"/>
      <c r="K151" s="26"/>
    </row>
    <row r="152" spans="1:11" ht="15">
      <c r="A152" s="103"/>
      <c r="C152" s="12" t="s">
        <v>18</v>
      </c>
      <c r="D152" s="294" t="s">
        <v>202</v>
      </c>
      <c r="E152" s="295" t="s">
        <v>1</v>
      </c>
      <c r="F152" s="266">
        <v>30000</v>
      </c>
      <c r="G152" s="266">
        <f>30000-11700</f>
        <v>18300</v>
      </c>
      <c r="H152" s="267">
        <v>18256.59</v>
      </c>
      <c r="I152" s="267">
        <v>16682.9</v>
      </c>
      <c r="J152" s="248">
        <f aca="true" t="shared" si="2" ref="J152:J165">ROUND(H152/G152*100,1)</f>
        <v>99.8</v>
      </c>
      <c r="K152" s="26"/>
    </row>
    <row r="153" spans="1:11" ht="15">
      <c r="A153" s="103"/>
      <c r="C153" s="12" t="s">
        <v>18</v>
      </c>
      <c r="D153" s="294" t="s">
        <v>305</v>
      </c>
      <c r="E153" s="295" t="s">
        <v>1</v>
      </c>
      <c r="F153" s="266"/>
      <c r="G153" s="266">
        <v>10000</v>
      </c>
      <c r="H153" s="267">
        <v>7714.4</v>
      </c>
      <c r="I153" s="267">
        <v>6619.2</v>
      </c>
      <c r="J153" s="248">
        <f t="shared" si="2"/>
        <v>77.1</v>
      </c>
      <c r="K153" s="26"/>
    </row>
    <row r="154" spans="1:11" ht="15">
      <c r="A154" s="103"/>
      <c r="C154" s="12" t="s">
        <v>18</v>
      </c>
      <c r="D154" s="294" t="s">
        <v>306</v>
      </c>
      <c r="E154" s="295" t="s">
        <v>1</v>
      </c>
      <c r="F154" s="266"/>
      <c r="G154" s="266">
        <v>12500</v>
      </c>
      <c r="H154" s="267">
        <v>10440.95</v>
      </c>
      <c r="I154" s="267"/>
      <c r="J154" s="251">
        <f t="shared" si="2"/>
        <v>83.5</v>
      </c>
      <c r="K154" s="26"/>
    </row>
    <row r="155" spans="1:12" s="25" customFormat="1" ht="24" customHeight="1">
      <c r="A155" s="102"/>
      <c r="B155" s="21"/>
      <c r="C155" s="12" t="s">
        <v>18</v>
      </c>
      <c r="D155" s="376" t="s">
        <v>203</v>
      </c>
      <c r="E155" s="377" t="s">
        <v>1</v>
      </c>
      <c r="F155" s="356">
        <v>12000</v>
      </c>
      <c r="G155" s="356">
        <f>12000+18000</f>
        <v>30000</v>
      </c>
      <c r="H155" s="357">
        <v>30000</v>
      </c>
      <c r="I155" s="357">
        <v>30000</v>
      </c>
      <c r="J155" s="248">
        <f t="shared" si="2"/>
        <v>100</v>
      </c>
      <c r="K155" s="23"/>
      <c r="L155" s="24"/>
    </row>
    <row r="156" spans="1:12" s="12" customFormat="1" ht="17.25" customHeight="1">
      <c r="A156" s="103"/>
      <c r="D156" s="321" t="s">
        <v>33</v>
      </c>
      <c r="E156" s="309"/>
      <c r="F156" s="270">
        <f>SUM(F157:F165)</f>
        <v>46000</v>
      </c>
      <c r="G156" s="270">
        <f>SUM(G157:G165)</f>
        <v>117228</v>
      </c>
      <c r="H156" s="270">
        <f>SUM(H157:H165)</f>
        <v>115540.09</v>
      </c>
      <c r="I156" s="270">
        <f>SUM(I157:I165)</f>
        <v>20748.29</v>
      </c>
      <c r="J156" s="329">
        <f t="shared" si="2"/>
        <v>98.6</v>
      </c>
      <c r="K156" s="26"/>
      <c r="L156" s="34"/>
    </row>
    <row r="157" spans="1:15" ht="36.75" customHeight="1">
      <c r="A157" s="103"/>
      <c r="C157" s="12" t="s">
        <v>18</v>
      </c>
      <c r="D157" s="330" t="s">
        <v>204</v>
      </c>
      <c r="E157" s="292" t="s">
        <v>1</v>
      </c>
      <c r="F157" s="245">
        <v>25000</v>
      </c>
      <c r="G157" s="245">
        <v>25000</v>
      </c>
      <c r="H157" s="265">
        <v>21243.48</v>
      </c>
      <c r="I157" s="265"/>
      <c r="J157" s="333">
        <f t="shared" si="2"/>
        <v>85</v>
      </c>
      <c r="K157" s="26"/>
      <c r="M157" s="88"/>
      <c r="N157" s="88"/>
      <c r="O157" s="88"/>
    </row>
    <row r="158" spans="1:11" ht="16.5" customHeight="1">
      <c r="A158" s="103"/>
      <c r="C158" s="12" t="s">
        <v>18</v>
      </c>
      <c r="D158" s="330" t="s">
        <v>278</v>
      </c>
      <c r="E158" s="292" t="s">
        <v>1</v>
      </c>
      <c r="F158" s="245"/>
      <c r="G158" s="245">
        <v>10992</v>
      </c>
      <c r="H158" s="265">
        <v>10992</v>
      </c>
      <c r="I158" s="265"/>
      <c r="J158" s="246">
        <f t="shared" si="2"/>
        <v>100</v>
      </c>
      <c r="K158" s="26"/>
    </row>
    <row r="159" spans="1:11" ht="16.5" customHeight="1">
      <c r="A159" s="103"/>
      <c r="C159" s="12" t="s">
        <v>18</v>
      </c>
      <c r="D159" s="330" t="s">
        <v>307</v>
      </c>
      <c r="E159" s="292" t="s">
        <v>1</v>
      </c>
      <c r="F159" s="245"/>
      <c r="G159" s="245">
        <v>25000</v>
      </c>
      <c r="H159" s="265">
        <v>24925.2</v>
      </c>
      <c r="I159" s="265">
        <v>13093.2</v>
      </c>
      <c r="J159" s="246">
        <f t="shared" si="2"/>
        <v>99.7</v>
      </c>
      <c r="K159" s="26"/>
    </row>
    <row r="160" spans="1:11" ht="16.5" customHeight="1">
      <c r="A160" s="103"/>
      <c r="C160" s="12" t="s">
        <v>18</v>
      </c>
      <c r="D160" s="330" t="s">
        <v>343</v>
      </c>
      <c r="E160" s="292" t="s">
        <v>1</v>
      </c>
      <c r="F160" s="245"/>
      <c r="G160" s="245">
        <v>16000</v>
      </c>
      <c r="H160" s="265">
        <v>18571.49</v>
      </c>
      <c r="I160" s="265">
        <v>7655.09</v>
      </c>
      <c r="J160" s="246">
        <f t="shared" si="2"/>
        <v>116.1</v>
      </c>
      <c r="K160" s="26"/>
    </row>
    <row r="161" spans="1:11" ht="16.5" customHeight="1">
      <c r="A161" s="103"/>
      <c r="C161" s="12" t="s">
        <v>18</v>
      </c>
      <c r="D161" s="330" t="s">
        <v>308</v>
      </c>
      <c r="E161" s="292" t="s">
        <v>1</v>
      </c>
      <c r="F161" s="245"/>
      <c r="G161" s="245">
        <f>7206+12030</f>
        <v>19236</v>
      </c>
      <c r="H161" s="265">
        <v>18725.64</v>
      </c>
      <c r="I161" s="265"/>
      <c r="J161" s="246">
        <f t="shared" si="2"/>
        <v>97.3</v>
      </c>
      <c r="K161" s="26"/>
    </row>
    <row r="162" spans="1:11" ht="15">
      <c r="A162" s="103"/>
      <c r="C162" s="12" t="s">
        <v>18</v>
      </c>
      <c r="D162" s="294" t="s">
        <v>205</v>
      </c>
      <c r="E162" s="295" t="s">
        <v>1</v>
      </c>
      <c r="F162" s="266">
        <v>6500</v>
      </c>
      <c r="G162" s="266">
        <v>6500</v>
      </c>
      <c r="H162" s="267">
        <v>6479.4</v>
      </c>
      <c r="I162" s="267"/>
      <c r="J162" s="248">
        <f t="shared" si="2"/>
        <v>99.7</v>
      </c>
      <c r="K162" s="26"/>
    </row>
    <row r="163" spans="1:11" ht="15">
      <c r="A163" s="103"/>
      <c r="C163" s="12" t="s">
        <v>18</v>
      </c>
      <c r="D163" s="294" t="s">
        <v>206</v>
      </c>
      <c r="E163" s="295" t="s">
        <v>1</v>
      </c>
      <c r="F163" s="266">
        <v>5500</v>
      </c>
      <c r="G163" s="266">
        <v>5500</v>
      </c>
      <c r="H163" s="267">
        <v>6240</v>
      </c>
      <c r="I163" s="267"/>
      <c r="J163" s="251">
        <f t="shared" si="2"/>
        <v>113.5</v>
      </c>
      <c r="K163" s="26"/>
    </row>
    <row r="164" spans="1:11" ht="30">
      <c r="A164" s="103"/>
      <c r="C164" s="12" t="s">
        <v>18</v>
      </c>
      <c r="D164" s="294" t="s">
        <v>309</v>
      </c>
      <c r="E164" s="295" t="s">
        <v>1</v>
      </c>
      <c r="F164" s="266">
        <v>5000</v>
      </c>
      <c r="G164" s="266">
        <v>5000</v>
      </c>
      <c r="H164" s="267">
        <v>6662.88</v>
      </c>
      <c r="I164" s="267"/>
      <c r="J164" s="251">
        <f t="shared" si="2"/>
        <v>133.3</v>
      </c>
      <c r="K164" s="26"/>
    </row>
    <row r="165" spans="1:11" ht="30">
      <c r="A165" s="112"/>
      <c r="B165" s="39"/>
      <c r="C165" s="12" t="s">
        <v>18</v>
      </c>
      <c r="D165" s="378" t="s">
        <v>207</v>
      </c>
      <c r="E165" s="379" t="s">
        <v>1</v>
      </c>
      <c r="F165" s="341">
        <v>4000</v>
      </c>
      <c r="G165" s="341">
        <v>4000</v>
      </c>
      <c r="H165" s="342">
        <v>1700</v>
      </c>
      <c r="I165" s="342"/>
      <c r="J165" s="380">
        <f t="shared" si="2"/>
        <v>42.5</v>
      </c>
      <c r="K165" s="40"/>
    </row>
    <row r="166" spans="1:12" s="38" customFormat="1" ht="20.25" customHeight="1">
      <c r="A166" s="113"/>
      <c r="B166" s="51"/>
      <c r="C166" s="51"/>
      <c r="D166" s="381" t="s">
        <v>208</v>
      </c>
      <c r="E166" s="382" t="s">
        <v>1</v>
      </c>
      <c r="F166" s="383">
        <v>10000</v>
      </c>
      <c r="G166" s="383">
        <f>10000-10000</f>
        <v>0</v>
      </c>
      <c r="H166" s="384"/>
      <c r="I166" s="384"/>
      <c r="J166" s="242"/>
      <c r="K166" s="52"/>
      <c r="L166" s="37"/>
    </row>
    <row r="167" spans="1:14" s="25" customFormat="1" ht="30">
      <c r="A167" s="104"/>
      <c r="B167" s="27"/>
      <c r="C167" s="27" t="s">
        <v>15</v>
      </c>
      <c r="D167" s="385" t="s">
        <v>357</v>
      </c>
      <c r="E167" s="386"/>
      <c r="F167" s="387"/>
      <c r="G167" s="387"/>
      <c r="H167" s="388"/>
      <c r="I167" s="388"/>
      <c r="J167" s="389"/>
      <c r="K167" s="28"/>
      <c r="L167" s="24"/>
      <c r="N167" s="25" t="s">
        <v>209</v>
      </c>
    </row>
    <row r="168" spans="1:14" s="21" customFormat="1" ht="24" customHeight="1">
      <c r="A168" s="105"/>
      <c r="B168" s="22"/>
      <c r="C168" s="22"/>
      <c r="D168" s="256" t="s">
        <v>210</v>
      </c>
      <c r="E168" s="257"/>
      <c r="F168" s="258">
        <f>SUM(F169,F185,F192,F195,F198,F202,F206,F219,F220)</f>
        <v>1861535</v>
      </c>
      <c r="G168" s="258">
        <f>SUM(G169,G185,G192,G195,G198,G202,G206,G219,G220,G216)</f>
        <v>2092008</v>
      </c>
      <c r="H168" s="258">
        <f>SUM(H169,H185,H192,H195,H198,H202,H206,H219,H220,H216)</f>
        <v>1915650.2199999997</v>
      </c>
      <c r="I168" s="258">
        <f>SUM(I169,I185,I192,I195,I198,I202,I206,I219,I220,I216)</f>
        <v>96170.31</v>
      </c>
      <c r="J168" s="262">
        <f aca="true" t="shared" si="3" ref="J168:J230">ROUND(H168/G168*100,1)</f>
        <v>91.6</v>
      </c>
      <c r="K168" s="32"/>
      <c r="L168" s="41"/>
      <c r="N168" s="129"/>
    </row>
    <row r="169" spans="1:14" s="12" customFormat="1" ht="17.25" customHeight="1">
      <c r="A169" s="103"/>
      <c r="D169" s="373" t="s">
        <v>34</v>
      </c>
      <c r="E169" s="285"/>
      <c r="F169" s="261">
        <f>SUM(F170:F179,F182)</f>
        <v>914795</v>
      </c>
      <c r="G169" s="261">
        <f>SUM(G170:G179,G182)</f>
        <v>928995</v>
      </c>
      <c r="H169" s="261">
        <f>SUM(H170:H179,H182)</f>
        <v>915382.94</v>
      </c>
      <c r="I169" s="261">
        <f>SUM(I170:I179,I182)</f>
        <v>32832.479999999996</v>
      </c>
      <c r="J169" s="278">
        <f t="shared" si="3"/>
        <v>98.5</v>
      </c>
      <c r="K169" s="26"/>
      <c r="L169" s="117"/>
      <c r="M169" s="117"/>
      <c r="N169" s="117"/>
    </row>
    <row r="170" spans="1:11" ht="16.5" customHeight="1">
      <c r="A170" s="103"/>
      <c r="C170" s="12" t="s">
        <v>15</v>
      </c>
      <c r="D170" s="330" t="s">
        <v>35</v>
      </c>
      <c r="E170" s="292" t="s">
        <v>1</v>
      </c>
      <c r="F170" s="245">
        <v>560000</v>
      </c>
      <c r="G170" s="245">
        <v>560000</v>
      </c>
      <c r="H170" s="265">
        <v>556451.93</v>
      </c>
      <c r="I170" s="265">
        <v>16344</v>
      </c>
      <c r="J170" s="246">
        <f t="shared" si="3"/>
        <v>99.4</v>
      </c>
      <c r="K170" s="26"/>
    </row>
    <row r="171" spans="1:11" ht="15">
      <c r="A171" s="103"/>
      <c r="C171" s="12" t="s">
        <v>15</v>
      </c>
      <c r="D171" s="294" t="s">
        <v>211</v>
      </c>
      <c r="E171" s="295" t="s">
        <v>1</v>
      </c>
      <c r="F171" s="266">
        <v>100000</v>
      </c>
      <c r="G171" s="266">
        <v>100000</v>
      </c>
      <c r="H171" s="267">
        <v>99936.45</v>
      </c>
      <c r="I171" s="267">
        <v>4848.48</v>
      </c>
      <c r="J171" s="248">
        <f t="shared" si="3"/>
        <v>99.9</v>
      </c>
      <c r="K171" s="26"/>
    </row>
    <row r="172" spans="1:11" ht="15.75" customHeight="1">
      <c r="A172" s="103"/>
      <c r="C172" s="12" t="s">
        <v>15</v>
      </c>
      <c r="D172" s="294" t="s">
        <v>212</v>
      </c>
      <c r="E172" s="295" t="s">
        <v>1</v>
      </c>
      <c r="F172" s="266">
        <v>85000</v>
      </c>
      <c r="G172" s="266">
        <v>85000</v>
      </c>
      <c r="H172" s="267">
        <v>83847.36</v>
      </c>
      <c r="I172" s="267">
        <v>4968</v>
      </c>
      <c r="J172" s="248">
        <f t="shared" si="3"/>
        <v>98.6</v>
      </c>
      <c r="K172" s="26"/>
    </row>
    <row r="173" spans="1:11" ht="15.75" customHeight="1">
      <c r="A173" s="103"/>
      <c r="C173" s="12" t="s">
        <v>8</v>
      </c>
      <c r="D173" s="294" t="s">
        <v>213</v>
      </c>
      <c r="E173" s="295" t="s">
        <v>3</v>
      </c>
      <c r="F173" s="266">
        <v>48000</v>
      </c>
      <c r="G173" s="266">
        <v>48000</v>
      </c>
      <c r="H173" s="267">
        <v>48000</v>
      </c>
      <c r="I173" s="267"/>
      <c r="J173" s="248">
        <f t="shared" si="3"/>
        <v>100</v>
      </c>
      <c r="K173" s="26"/>
    </row>
    <row r="174" spans="1:11" ht="15.75" customHeight="1">
      <c r="A174" s="103"/>
      <c r="B174" s="12" t="s">
        <v>8</v>
      </c>
      <c r="D174" s="294" t="s">
        <v>214</v>
      </c>
      <c r="E174" s="295" t="s">
        <v>3</v>
      </c>
      <c r="F174" s="266">
        <v>48000</v>
      </c>
      <c r="G174" s="266">
        <v>48000</v>
      </c>
      <c r="H174" s="267">
        <v>48000</v>
      </c>
      <c r="I174" s="267"/>
      <c r="J174" s="248">
        <f t="shared" si="3"/>
        <v>100</v>
      </c>
      <c r="K174" s="26"/>
    </row>
    <row r="175" spans="1:12" s="25" customFormat="1" ht="30">
      <c r="A175" s="102"/>
      <c r="B175" s="21"/>
      <c r="C175" s="21" t="s">
        <v>15</v>
      </c>
      <c r="D175" s="376" t="s">
        <v>215</v>
      </c>
      <c r="E175" s="377" t="s">
        <v>1</v>
      </c>
      <c r="F175" s="356">
        <v>30000</v>
      </c>
      <c r="G175" s="356">
        <v>30000</v>
      </c>
      <c r="H175" s="357">
        <v>20656.2</v>
      </c>
      <c r="I175" s="357">
        <v>1176</v>
      </c>
      <c r="J175" s="248">
        <f t="shared" si="3"/>
        <v>68.9</v>
      </c>
      <c r="K175" s="23"/>
      <c r="L175" s="24"/>
    </row>
    <row r="176" spans="1:12" s="25" customFormat="1" ht="30">
      <c r="A176" s="102"/>
      <c r="B176" s="21"/>
      <c r="C176" s="21" t="s">
        <v>12</v>
      </c>
      <c r="D176" s="376" t="s">
        <v>216</v>
      </c>
      <c r="E176" s="377" t="s">
        <v>3</v>
      </c>
      <c r="F176" s="356"/>
      <c r="G176" s="356">
        <v>10000</v>
      </c>
      <c r="H176" s="357">
        <v>10000</v>
      </c>
      <c r="I176" s="357"/>
      <c r="J176" s="248">
        <f t="shared" si="3"/>
        <v>100</v>
      </c>
      <c r="K176" s="23"/>
      <c r="L176" s="24"/>
    </row>
    <row r="177" spans="1:12" s="25" customFormat="1" ht="30">
      <c r="A177" s="102"/>
      <c r="B177" s="21"/>
      <c r="C177" s="21" t="s">
        <v>12</v>
      </c>
      <c r="D177" s="376" t="s">
        <v>358</v>
      </c>
      <c r="E177" s="377" t="s">
        <v>3</v>
      </c>
      <c r="F177" s="356"/>
      <c r="G177" s="356">
        <v>4200</v>
      </c>
      <c r="H177" s="357">
        <v>4200</v>
      </c>
      <c r="I177" s="357"/>
      <c r="J177" s="248">
        <f t="shared" si="3"/>
        <v>100</v>
      </c>
      <c r="K177" s="23"/>
      <c r="L177" s="24"/>
    </row>
    <row r="178" spans="1:11" ht="15">
      <c r="A178" s="103"/>
      <c r="C178" s="12" t="s">
        <v>15</v>
      </c>
      <c r="D178" s="294" t="s">
        <v>217</v>
      </c>
      <c r="E178" s="295" t="s">
        <v>1</v>
      </c>
      <c r="F178" s="266">
        <v>5000</v>
      </c>
      <c r="G178" s="266">
        <v>5000</v>
      </c>
      <c r="H178" s="267">
        <v>5496</v>
      </c>
      <c r="I178" s="267">
        <v>5496</v>
      </c>
      <c r="J178" s="248">
        <f t="shared" si="3"/>
        <v>109.9</v>
      </c>
      <c r="K178" s="26"/>
    </row>
    <row r="179" spans="1:11" ht="16.5" customHeight="1">
      <c r="A179" s="103"/>
      <c r="D179" s="322" t="s">
        <v>218</v>
      </c>
      <c r="E179" s="309" t="s">
        <v>3</v>
      </c>
      <c r="F179" s="336">
        <f>SUM(F180:F181)</f>
        <v>11485</v>
      </c>
      <c r="G179" s="336">
        <f>SUM(G180:G181)</f>
        <v>11485</v>
      </c>
      <c r="H179" s="336">
        <f>SUM(H180:H181)</f>
        <v>11485</v>
      </c>
      <c r="I179" s="336"/>
      <c r="J179" s="329">
        <f t="shared" si="3"/>
        <v>100</v>
      </c>
      <c r="K179" s="26"/>
    </row>
    <row r="180" spans="1:12" s="50" customFormat="1" ht="16.5" customHeight="1">
      <c r="A180" s="110"/>
      <c r="B180" s="45"/>
      <c r="C180" s="178" t="s">
        <v>15</v>
      </c>
      <c r="D180" s="46" t="s">
        <v>219</v>
      </c>
      <c r="E180" s="53"/>
      <c r="F180" s="47">
        <v>6000</v>
      </c>
      <c r="G180" s="47">
        <v>6000</v>
      </c>
      <c r="H180" s="119">
        <v>6000</v>
      </c>
      <c r="I180" s="119"/>
      <c r="J180" s="278">
        <f t="shared" si="3"/>
        <v>100</v>
      </c>
      <c r="K180" s="48"/>
      <c r="L180" s="49"/>
    </row>
    <row r="181" spans="1:12" s="50" customFormat="1" ht="15.75" customHeight="1">
      <c r="A181" s="110"/>
      <c r="B181" s="45"/>
      <c r="C181" s="178" t="s">
        <v>12</v>
      </c>
      <c r="D181" s="54" t="s">
        <v>220</v>
      </c>
      <c r="E181" s="55"/>
      <c r="F181" s="56">
        <v>5485</v>
      </c>
      <c r="G181" s="56">
        <v>5485</v>
      </c>
      <c r="H181" s="120">
        <v>5485</v>
      </c>
      <c r="I181" s="120"/>
      <c r="J181" s="246">
        <f t="shared" si="3"/>
        <v>100</v>
      </c>
      <c r="K181" s="48"/>
      <c r="L181" s="49"/>
    </row>
    <row r="182" spans="1:11" ht="16.5" customHeight="1">
      <c r="A182" s="103"/>
      <c r="C182" s="12" t="s">
        <v>12</v>
      </c>
      <c r="D182" s="322" t="s">
        <v>221</v>
      </c>
      <c r="E182" s="309" t="s">
        <v>3</v>
      </c>
      <c r="F182" s="336">
        <f>SUM(F183:F184)</f>
        <v>27310</v>
      </c>
      <c r="G182" s="336">
        <f>SUM(G183:G184)</f>
        <v>27310</v>
      </c>
      <c r="H182" s="336">
        <f>SUM(H183:H184)</f>
        <v>27310</v>
      </c>
      <c r="I182" s="337"/>
      <c r="J182" s="329">
        <f t="shared" si="3"/>
        <v>100</v>
      </c>
      <c r="K182" s="26"/>
    </row>
    <row r="183" spans="1:12" s="50" customFormat="1" ht="16.5" customHeight="1">
      <c r="A183" s="110"/>
      <c r="B183" s="45"/>
      <c r="C183" s="45"/>
      <c r="D183" s="46" t="s">
        <v>36</v>
      </c>
      <c r="E183" s="53"/>
      <c r="F183" s="47">
        <v>22250</v>
      </c>
      <c r="G183" s="47">
        <v>22250</v>
      </c>
      <c r="H183" s="119">
        <v>22250</v>
      </c>
      <c r="I183" s="119"/>
      <c r="J183" s="278">
        <f t="shared" si="3"/>
        <v>100</v>
      </c>
      <c r="K183" s="48"/>
      <c r="L183" s="49"/>
    </row>
    <row r="184" spans="1:12" s="63" customFormat="1" ht="27" customHeight="1">
      <c r="A184" s="114"/>
      <c r="B184" s="57"/>
      <c r="C184" s="57"/>
      <c r="D184" s="58" t="s">
        <v>222</v>
      </c>
      <c r="E184" s="59"/>
      <c r="F184" s="60">
        <v>5060</v>
      </c>
      <c r="G184" s="60">
        <v>5060</v>
      </c>
      <c r="H184" s="121">
        <v>5060</v>
      </c>
      <c r="I184" s="121"/>
      <c r="J184" s="246">
        <f t="shared" si="3"/>
        <v>100</v>
      </c>
      <c r="K184" s="61"/>
      <c r="L184" s="62"/>
    </row>
    <row r="185" spans="1:12" s="12" customFormat="1" ht="31.5" customHeight="1">
      <c r="A185" s="103"/>
      <c r="D185" s="322" t="s">
        <v>359</v>
      </c>
      <c r="E185" s="309"/>
      <c r="F185" s="270">
        <f>SUM(F186:F191)</f>
        <v>168000</v>
      </c>
      <c r="G185" s="270">
        <f>SUM(G186:G191)</f>
        <v>247900</v>
      </c>
      <c r="H185" s="270">
        <f>SUM(H186:H191)</f>
        <v>247900</v>
      </c>
      <c r="I185" s="270">
        <f>SUM(I186:I191)</f>
        <v>0</v>
      </c>
      <c r="J185" s="380">
        <f t="shared" si="3"/>
        <v>100</v>
      </c>
      <c r="K185" s="26"/>
      <c r="L185" s="34"/>
    </row>
    <row r="186" spans="1:15" ht="20.25" customHeight="1">
      <c r="A186" s="103"/>
      <c r="C186" s="12" t="s">
        <v>15</v>
      </c>
      <c r="D186" s="390" t="s">
        <v>223</v>
      </c>
      <c r="E186" s="391" t="s">
        <v>3</v>
      </c>
      <c r="F186" s="276">
        <v>69600</v>
      </c>
      <c r="G186" s="276">
        <f>69600+24900</f>
        <v>94500</v>
      </c>
      <c r="H186" s="277">
        <v>94500</v>
      </c>
      <c r="I186" s="277"/>
      <c r="J186" s="278">
        <f t="shared" si="3"/>
        <v>100</v>
      </c>
      <c r="K186" s="26"/>
      <c r="M186" s="88"/>
      <c r="N186" s="88"/>
      <c r="O186" s="88"/>
    </row>
    <row r="187" spans="1:11" ht="15" customHeight="1">
      <c r="A187" s="103"/>
      <c r="C187" s="12" t="s">
        <v>15</v>
      </c>
      <c r="D187" s="304" t="s">
        <v>224</v>
      </c>
      <c r="E187" s="392" t="s">
        <v>3</v>
      </c>
      <c r="F187" s="266">
        <v>28000</v>
      </c>
      <c r="G187" s="266">
        <f>28000+15000</f>
        <v>43000</v>
      </c>
      <c r="H187" s="267">
        <v>43000</v>
      </c>
      <c r="I187" s="267"/>
      <c r="J187" s="251">
        <f t="shared" si="3"/>
        <v>100</v>
      </c>
      <c r="K187" s="26"/>
    </row>
    <row r="188" spans="1:11" ht="15" customHeight="1">
      <c r="A188" s="103"/>
      <c r="C188" s="12" t="s">
        <v>15</v>
      </c>
      <c r="D188" s="304" t="s">
        <v>360</v>
      </c>
      <c r="E188" s="392" t="s">
        <v>3</v>
      </c>
      <c r="F188" s="266"/>
      <c r="G188" s="266">
        <v>20000</v>
      </c>
      <c r="H188" s="267">
        <v>20000</v>
      </c>
      <c r="I188" s="267"/>
      <c r="J188" s="251">
        <f t="shared" si="3"/>
        <v>100</v>
      </c>
      <c r="K188" s="26"/>
    </row>
    <row r="189" spans="1:11" ht="15" customHeight="1">
      <c r="A189" s="103"/>
      <c r="C189" s="12" t="s">
        <v>12</v>
      </c>
      <c r="D189" s="304" t="s">
        <v>310</v>
      </c>
      <c r="E189" s="392" t="s">
        <v>3</v>
      </c>
      <c r="F189" s="266"/>
      <c r="G189" s="266">
        <v>20000</v>
      </c>
      <c r="H189" s="267">
        <v>20000</v>
      </c>
      <c r="I189" s="267"/>
      <c r="J189" s="248">
        <f t="shared" si="3"/>
        <v>100</v>
      </c>
      <c r="K189" s="26"/>
    </row>
    <row r="190" spans="1:11" ht="15" customHeight="1">
      <c r="A190" s="103"/>
      <c r="C190" s="12" t="s">
        <v>12</v>
      </c>
      <c r="D190" s="304" t="s">
        <v>225</v>
      </c>
      <c r="E190" s="392" t="s">
        <v>3</v>
      </c>
      <c r="F190" s="266">
        <v>27650</v>
      </c>
      <c r="G190" s="266">
        <v>27650</v>
      </c>
      <c r="H190" s="267">
        <v>27650</v>
      </c>
      <c r="I190" s="267"/>
      <c r="J190" s="248">
        <f t="shared" si="3"/>
        <v>100</v>
      </c>
      <c r="K190" s="26"/>
    </row>
    <row r="191" spans="1:12" s="25" customFormat="1" ht="27.75" customHeight="1">
      <c r="A191" s="102"/>
      <c r="B191" s="21"/>
      <c r="C191" s="21" t="s">
        <v>12</v>
      </c>
      <c r="D191" s="393" t="s">
        <v>226</v>
      </c>
      <c r="E191" s="391" t="s">
        <v>3</v>
      </c>
      <c r="F191" s="394">
        <f>20000+22750</f>
        <v>42750</v>
      </c>
      <c r="G191" s="394">
        <f>20000+22750</f>
        <v>42750</v>
      </c>
      <c r="H191" s="395">
        <v>42750</v>
      </c>
      <c r="I191" s="395"/>
      <c r="J191" s="246">
        <f t="shared" si="3"/>
        <v>100</v>
      </c>
      <c r="K191" s="23"/>
      <c r="L191" s="24"/>
    </row>
    <row r="192" spans="1:12" s="12" customFormat="1" ht="17.25" customHeight="1">
      <c r="A192" s="103"/>
      <c r="D192" s="322" t="s">
        <v>361</v>
      </c>
      <c r="E192" s="309"/>
      <c r="F192" s="270">
        <f>SUM(F193:F194)</f>
        <v>35000</v>
      </c>
      <c r="G192" s="270">
        <f>SUM(G193:G194)</f>
        <v>37600</v>
      </c>
      <c r="H192" s="270">
        <f>SUM(H193:H194)</f>
        <v>36335.95</v>
      </c>
      <c r="I192" s="270"/>
      <c r="J192" s="329">
        <f t="shared" si="3"/>
        <v>96.6</v>
      </c>
      <c r="K192" s="26"/>
      <c r="L192" s="34"/>
    </row>
    <row r="193" spans="1:11" ht="16.5" customHeight="1">
      <c r="A193" s="103"/>
      <c r="C193" s="12" t="s">
        <v>15</v>
      </c>
      <c r="D193" s="330" t="s">
        <v>227</v>
      </c>
      <c r="E193" s="292" t="s">
        <v>1</v>
      </c>
      <c r="F193" s="245">
        <v>25000</v>
      </c>
      <c r="G193" s="245">
        <f>25000+2600</f>
        <v>27600</v>
      </c>
      <c r="H193" s="265">
        <v>27568.75</v>
      </c>
      <c r="I193" s="265"/>
      <c r="J193" s="246">
        <f t="shared" si="3"/>
        <v>99.9</v>
      </c>
      <c r="K193" s="26"/>
    </row>
    <row r="194" spans="1:12" s="25" customFormat="1" ht="16.5" customHeight="1">
      <c r="A194" s="102"/>
      <c r="B194" s="21"/>
      <c r="C194" s="21" t="s">
        <v>12</v>
      </c>
      <c r="D194" s="396" t="s">
        <v>37</v>
      </c>
      <c r="E194" s="377" t="s">
        <v>1</v>
      </c>
      <c r="F194" s="356">
        <v>10000</v>
      </c>
      <c r="G194" s="356">
        <v>10000</v>
      </c>
      <c r="H194" s="357">
        <v>8767.2</v>
      </c>
      <c r="I194" s="357"/>
      <c r="J194" s="248">
        <f t="shared" si="3"/>
        <v>87.7</v>
      </c>
      <c r="K194" s="23"/>
      <c r="L194" s="24"/>
    </row>
    <row r="195" spans="1:12" s="12" customFormat="1" ht="17.25" customHeight="1">
      <c r="A195" s="103"/>
      <c r="D195" s="322" t="s">
        <v>362</v>
      </c>
      <c r="E195" s="309"/>
      <c r="F195" s="270">
        <f>SUM(F196:F197)</f>
        <v>135000</v>
      </c>
      <c r="G195" s="270">
        <f>SUM(G196:G197)</f>
        <v>150000</v>
      </c>
      <c r="H195" s="270">
        <f>SUM(H196:H197)</f>
        <v>122914.09</v>
      </c>
      <c r="I195" s="270">
        <f>SUM(I196:I197)</f>
        <v>8872.32</v>
      </c>
      <c r="J195" s="329">
        <f t="shared" si="3"/>
        <v>81.9</v>
      </c>
      <c r="K195" s="26"/>
      <c r="L195" s="34"/>
    </row>
    <row r="196" spans="1:11" ht="16.5" customHeight="1">
      <c r="A196" s="103"/>
      <c r="C196" s="12" t="s">
        <v>15</v>
      </c>
      <c r="D196" s="330" t="s">
        <v>228</v>
      </c>
      <c r="E196" s="292" t="s">
        <v>1</v>
      </c>
      <c r="F196" s="245">
        <v>25000</v>
      </c>
      <c r="G196" s="245">
        <v>25000</v>
      </c>
      <c r="H196" s="265">
        <v>6970.57</v>
      </c>
      <c r="I196" s="265"/>
      <c r="J196" s="246">
        <f t="shared" si="3"/>
        <v>27.9</v>
      </c>
      <c r="K196" s="26"/>
    </row>
    <row r="197" spans="1:11" ht="16.5" customHeight="1">
      <c r="A197" s="103"/>
      <c r="C197" s="12" t="s">
        <v>15</v>
      </c>
      <c r="D197" s="397" t="s">
        <v>229</v>
      </c>
      <c r="E197" s="295" t="s">
        <v>1</v>
      </c>
      <c r="F197" s="266">
        <v>110000</v>
      </c>
      <c r="G197" s="266">
        <f>110000+15000</f>
        <v>125000</v>
      </c>
      <c r="H197" s="267">
        <v>115943.52</v>
      </c>
      <c r="I197" s="267">
        <v>8872.32</v>
      </c>
      <c r="J197" s="248">
        <f t="shared" si="3"/>
        <v>92.8</v>
      </c>
      <c r="K197" s="26"/>
    </row>
    <row r="198" spans="1:12" s="12" customFormat="1" ht="17.25" customHeight="1">
      <c r="A198" s="103"/>
      <c r="D198" s="321" t="s">
        <v>279</v>
      </c>
      <c r="E198" s="309"/>
      <c r="F198" s="270">
        <f>SUM(F199:F201)</f>
        <v>140000</v>
      </c>
      <c r="G198" s="270">
        <f>SUM(G199:G201)</f>
        <v>152120</v>
      </c>
      <c r="H198" s="270">
        <f>SUM(H199:H201)</f>
        <v>151180.97</v>
      </c>
      <c r="I198" s="270">
        <f>SUM(I199:I201)</f>
        <v>44021.74</v>
      </c>
      <c r="J198" s="329">
        <f t="shared" si="3"/>
        <v>99.4</v>
      </c>
      <c r="K198" s="26"/>
      <c r="L198" s="34"/>
    </row>
    <row r="199" spans="1:11" ht="36" customHeight="1">
      <c r="A199" s="103"/>
      <c r="C199" s="12" t="s">
        <v>15</v>
      </c>
      <c r="D199" s="330" t="s">
        <v>230</v>
      </c>
      <c r="E199" s="292" t="s">
        <v>1</v>
      </c>
      <c r="F199" s="245">
        <f>15000+100000-15000</f>
        <v>100000</v>
      </c>
      <c r="G199" s="245">
        <f>15000+100000-15000+12000</f>
        <v>112000</v>
      </c>
      <c r="H199" s="265">
        <v>111057.6</v>
      </c>
      <c r="I199" s="265">
        <v>4437.6</v>
      </c>
      <c r="J199" s="333">
        <f t="shared" si="3"/>
        <v>99.2</v>
      </c>
      <c r="K199" s="26"/>
    </row>
    <row r="200" spans="1:11" ht="36" customHeight="1">
      <c r="A200" s="103"/>
      <c r="C200" s="12" t="s">
        <v>12</v>
      </c>
      <c r="D200" s="330" t="s">
        <v>381</v>
      </c>
      <c r="E200" s="292" t="s">
        <v>1</v>
      </c>
      <c r="F200" s="245"/>
      <c r="G200" s="473">
        <v>120</v>
      </c>
      <c r="H200" s="265">
        <v>119.23</v>
      </c>
      <c r="I200" s="265"/>
      <c r="J200" s="333">
        <f t="shared" si="3"/>
        <v>99.4</v>
      </c>
      <c r="K200" s="26"/>
    </row>
    <row r="201" spans="1:11" ht="30">
      <c r="A201" s="103"/>
      <c r="C201" s="12" t="s">
        <v>12</v>
      </c>
      <c r="D201" s="294" t="s">
        <v>231</v>
      </c>
      <c r="E201" s="295" t="s">
        <v>1</v>
      </c>
      <c r="F201" s="266">
        <v>40000</v>
      </c>
      <c r="G201" s="266">
        <v>40000</v>
      </c>
      <c r="H201" s="267">
        <v>40004.14</v>
      </c>
      <c r="I201" s="267">
        <v>39584.14</v>
      </c>
      <c r="J201" s="251">
        <f t="shared" si="3"/>
        <v>100</v>
      </c>
      <c r="K201" s="26"/>
    </row>
    <row r="202" spans="1:12" s="12" customFormat="1" ht="17.25" customHeight="1">
      <c r="A202" s="103"/>
      <c r="D202" s="321" t="s">
        <v>232</v>
      </c>
      <c r="E202" s="309"/>
      <c r="F202" s="270">
        <f>SUM(F203:F205)</f>
        <v>96740</v>
      </c>
      <c r="G202" s="270">
        <f>SUM(G203:G205)</f>
        <v>96740</v>
      </c>
      <c r="H202" s="270">
        <f>SUM(H203:H205)</f>
        <v>21234</v>
      </c>
      <c r="I202" s="270">
        <f>SUM(I203:I205)</f>
        <v>6840</v>
      </c>
      <c r="J202" s="329">
        <f t="shared" si="3"/>
        <v>21.9</v>
      </c>
      <c r="K202" s="26"/>
      <c r="L202" s="34"/>
    </row>
    <row r="203" spans="1:11" ht="30">
      <c r="A203" s="103"/>
      <c r="C203" s="12" t="s">
        <v>12</v>
      </c>
      <c r="D203" s="330" t="s">
        <v>233</v>
      </c>
      <c r="E203" s="292" t="s">
        <v>1</v>
      </c>
      <c r="F203" s="245">
        <v>11640</v>
      </c>
      <c r="G203" s="245">
        <v>11640</v>
      </c>
      <c r="H203" s="265">
        <v>11640</v>
      </c>
      <c r="I203" s="265">
        <v>3840</v>
      </c>
      <c r="J203" s="333">
        <f t="shared" si="3"/>
        <v>100</v>
      </c>
      <c r="K203" s="26"/>
    </row>
    <row r="204" spans="1:11" ht="15">
      <c r="A204" s="103"/>
      <c r="C204" s="12" t="s">
        <v>15</v>
      </c>
      <c r="D204" s="294" t="s">
        <v>234</v>
      </c>
      <c r="E204" s="295" t="s">
        <v>1</v>
      </c>
      <c r="F204" s="266">
        <v>80000</v>
      </c>
      <c r="G204" s="266">
        <v>80000</v>
      </c>
      <c r="H204" s="267">
        <v>4560</v>
      </c>
      <c r="I204" s="267">
        <v>3000</v>
      </c>
      <c r="J204" s="248">
        <f t="shared" si="3"/>
        <v>5.7</v>
      </c>
      <c r="K204" s="26"/>
    </row>
    <row r="205" spans="1:12" s="25" customFormat="1" ht="16.5" customHeight="1">
      <c r="A205" s="102"/>
      <c r="B205" s="21"/>
      <c r="C205" s="21" t="s">
        <v>15</v>
      </c>
      <c r="D205" s="376" t="s">
        <v>235</v>
      </c>
      <c r="E205" s="377" t="s">
        <v>1</v>
      </c>
      <c r="F205" s="356">
        <v>5100</v>
      </c>
      <c r="G205" s="356">
        <v>5100</v>
      </c>
      <c r="H205" s="357">
        <v>5034</v>
      </c>
      <c r="I205" s="357"/>
      <c r="J205" s="248">
        <f t="shared" si="3"/>
        <v>98.7</v>
      </c>
      <c r="K205" s="23"/>
      <c r="L205" s="24"/>
    </row>
    <row r="206" spans="1:12" s="12" customFormat="1" ht="17.25" customHeight="1">
      <c r="A206" s="103"/>
      <c r="D206" s="321" t="s">
        <v>38</v>
      </c>
      <c r="E206" s="328"/>
      <c r="F206" s="270">
        <f>SUM(F207:F215)</f>
        <v>225000</v>
      </c>
      <c r="G206" s="270">
        <f>SUM(G207:G215)</f>
        <v>304453</v>
      </c>
      <c r="H206" s="270">
        <f>SUM(H207:H215)</f>
        <v>284970.6</v>
      </c>
      <c r="I206" s="270">
        <f>SUM(I207:I215)</f>
        <v>2791</v>
      </c>
      <c r="J206" s="329">
        <f t="shared" si="3"/>
        <v>93.6</v>
      </c>
      <c r="K206" s="26"/>
      <c r="L206" s="34"/>
    </row>
    <row r="207" spans="1:11" ht="16.5" customHeight="1">
      <c r="A207" s="103"/>
      <c r="C207" s="12" t="s">
        <v>15</v>
      </c>
      <c r="D207" s="398" t="s">
        <v>39</v>
      </c>
      <c r="E207" s="292" t="s">
        <v>3</v>
      </c>
      <c r="F207" s="245">
        <v>128000</v>
      </c>
      <c r="G207" s="245">
        <v>128000</v>
      </c>
      <c r="H207" s="265">
        <v>128000</v>
      </c>
      <c r="I207" s="265"/>
      <c r="J207" s="246">
        <f t="shared" si="3"/>
        <v>100</v>
      </c>
      <c r="K207" s="26"/>
    </row>
    <row r="208" spans="1:11" ht="15">
      <c r="A208" s="103"/>
      <c r="C208" s="12" t="s">
        <v>15</v>
      </c>
      <c r="D208" s="399" t="s">
        <v>236</v>
      </c>
      <c r="E208" s="295" t="s">
        <v>3</v>
      </c>
      <c r="F208" s="266">
        <v>10000</v>
      </c>
      <c r="G208" s="266">
        <f>10000+15000</f>
        <v>25000</v>
      </c>
      <c r="H208" s="267">
        <v>10000</v>
      </c>
      <c r="I208" s="267"/>
      <c r="J208" s="248">
        <f t="shared" si="3"/>
        <v>40</v>
      </c>
      <c r="K208" s="26"/>
    </row>
    <row r="209" spans="1:11" ht="15">
      <c r="A209" s="103"/>
      <c r="C209" s="12" t="s">
        <v>40</v>
      </c>
      <c r="D209" s="399" t="s">
        <v>41</v>
      </c>
      <c r="E209" s="295" t="s">
        <v>3</v>
      </c>
      <c r="F209" s="266">
        <v>30000</v>
      </c>
      <c r="G209" s="266">
        <f>30000+10000</f>
        <v>40000</v>
      </c>
      <c r="H209" s="267">
        <v>40000</v>
      </c>
      <c r="I209" s="267"/>
      <c r="J209" s="248">
        <f t="shared" si="3"/>
        <v>100</v>
      </c>
      <c r="K209" s="26"/>
    </row>
    <row r="210" spans="1:11" ht="15">
      <c r="A210" s="103"/>
      <c r="C210" s="12" t="s">
        <v>18</v>
      </c>
      <c r="D210" s="399" t="s">
        <v>311</v>
      </c>
      <c r="E210" s="295" t="s">
        <v>1</v>
      </c>
      <c r="F210" s="266"/>
      <c r="G210" s="266">
        <f>11400+960</f>
        <v>12360</v>
      </c>
      <c r="H210" s="267">
        <v>12312</v>
      </c>
      <c r="I210" s="267"/>
      <c r="J210" s="248">
        <f t="shared" si="3"/>
        <v>99.6</v>
      </c>
      <c r="K210" s="26"/>
    </row>
    <row r="211" spans="1:11" ht="15">
      <c r="A211" s="103"/>
      <c r="C211" s="12" t="s">
        <v>18</v>
      </c>
      <c r="D211" s="399" t="s">
        <v>312</v>
      </c>
      <c r="E211" s="295" t="s">
        <v>1</v>
      </c>
      <c r="F211" s="266"/>
      <c r="G211" s="266">
        <f>2136+4680</f>
        <v>6816</v>
      </c>
      <c r="H211" s="267">
        <v>6816</v>
      </c>
      <c r="I211" s="267"/>
      <c r="J211" s="248">
        <f t="shared" si="3"/>
        <v>100</v>
      </c>
      <c r="K211" s="26"/>
    </row>
    <row r="212" spans="1:11" ht="15">
      <c r="A212" s="103"/>
      <c r="C212" s="12" t="s">
        <v>18</v>
      </c>
      <c r="D212" s="400" t="s">
        <v>312</v>
      </c>
      <c r="E212" s="298" t="s">
        <v>1</v>
      </c>
      <c r="F212" s="266"/>
      <c r="G212" s="299">
        <v>31185</v>
      </c>
      <c r="H212" s="300">
        <v>31185.6</v>
      </c>
      <c r="I212" s="300"/>
      <c r="J212" s="302">
        <f t="shared" si="3"/>
        <v>100</v>
      </c>
      <c r="K212" s="26"/>
    </row>
    <row r="213" spans="1:11" ht="15">
      <c r="A213" s="103"/>
      <c r="C213" s="12" t="s">
        <v>18</v>
      </c>
      <c r="D213" s="400" t="s">
        <v>382</v>
      </c>
      <c r="E213" s="298" t="s">
        <v>1</v>
      </c>
      <c r="F213" s="266"/>
      <c r="G213" s="299">
        <v>4092</v>
      </c>
      <c r="H213" s="300">
        <v>660</v>
      </c>
      <c r="I213" s="300"/>
      <c r="J213" s="302">
        <f t="shared" si="3"/>
        <v>16.1</v>
      </c>
      <c r="K213" s="26"/>
    </row>
    <row r="214" spans="1:11" ht="15">
      <c r="A214" s="103"/>
      <c r="C214" s="12" t="s">
        <v>15</v>
      </c>
      <c r="D214" s="399" t="s">
        <v>42</v>
      </c>
      <c r="E214" s="295" t="s">
        <v>3</v>
      </c>
      <c r="F214" s="266">
        <v>25000</v>
      </c>
      <c r="G214" s="266">
        <v>25000</v>
      </c>
      <c r="H214" s="267">
        <v>25000</v>
      </c>
      <c r="I214" s="267"/>
      <c r="J214" s="248">
        <f t="shared" si="3"/>
        <v>100</v>
      </c>
      <c r="K214" s="26"/>
    </row>
    <row r="215" spans="1:12" s="25" customFormat="1" ht="16.5" customHeight="1">
      <c r="A215" s="102"/>
      <c r="B215" s="21"/>
      <c r="C215" s="21" t="s">
        <v>40</v>
      </c>
      <c r="D215" s="376" t="s">
        <v>43</v>
      </c>
      <c r="E215" s="377" t="s">
        <v>3</v>
      </c>
      <c r="F215" s="356">
        <v>32000</v>
      </c>
      <c r="G215" s="356">
        <v>32000</v>
      </c>
      <c r="H215" s="357">
        <v>30997</v>
      </c>
      <c r="I215" s="357">
        <v>2791</v>
      </c>
      <c r="J215" s="248">
        <f t="shared" si="3"/>
        <v>96.9</v>
      </c>
      <c r="K215" s="23"/>
      <c r="L215" s="24"/>
    </row>
    <row r="216" spans="1:12" s="25" customFormat="1" ht="16.5" customHeight="1">
      <c r="A216" s="102"/>
      <c r="B216" s="21"/>
      <c r="C216" s="21"/>
      <c r="D216" s="401" t="s">
        <v>237</v>
      </c>
      <c r="E216" s="377"/>
      <c r="F216" s="359"/>
      <c r="G216" s="347">
        <f>SUM(G217,G218)</f>
        <v>9200</v>
      </c>
      <c r="H216" s="347">
        <f>SUM(H217,H218)</f>
        <v>9200</v>
      </c>
      <c r="I216" s="402"/>
      <c r="J216" s="248">
        <f t="shared" si="3"/>
        <v>100</v>
      </c>
      <c r="K216" s="23"/>
      <c r="L216" s="24"/>
    </row>
    <row r="217" spans="1:12" s="25" customFormat="1" ht="31.5" customHeight="1">
      <c r="A217" s="102"/>
      <c r="B217" s="21" t="s">
        <v>12</v>
      </c>
      <c r="C217" s="21"/>
      <c r="D217" s="403" t="s">
        <v>238</v>
      </c>
      <c r="E217" s="377" t="s">
        <v>3</v>
      </c>
      <c r="F217" s="359"/>
      <c r="G217" s="359">
        <v>4200</v>
      </c>
      <c r="H217" s="402">
        <v>4200</v>
      </c>
      <c r="I217" s="402"/>
      <c r="J217" s="248">
        <f t="shared" si="3"/>
        <v>100</v>
      </c>
      <c r="K217" s="23"/>
      <c r="L217" s="24"/>
    </row>
    <row r="218" spans="1:12" s="25" customFormat="1" ht="31.5" customHeight="1">
      <c r="A218" s="102"/>
      <c r="B218" s="21"/>
      <c r="C218" s="21" t="s">
        <v>12</v>
      </c>
      <c r="D218" s="403" t="s">
        <v>383</v>
      </c>
      <c r="E218" s="377" t="s">
        <v>3</v>
      </c>
      <c r="F218" s="359"/>
      <c r="G218" s="359">
        <v>5000</v>
      </c>
      <c r="H218" s="402">
        <v>5000</v>
      </c>
      <c r="I218" s="402"/>
      <c r="J218" s="248">
        <f t="shared" si="3"/>
        <v>100</v>
      </c>
      <c r="K218" s="23"/>
      <c r="L218" s="24"/>
    </row>
    <row r="219" spans="1:12" s="21" customFormat="1" ht="46.5" customHeight="1">
      <c r="A219" s="102"/>
      <c r="C219" s="21" t="s">
        <v>12</v>
      </c>
      <c r="D219" s="403" t="s">
        <v>363</v>
      </c>
      <c r="E219" s="377" t="s">
        <v>3</v>
      </c>
      <c r="F219" s="347">
        <v>7000</v>
      </c>
      <c r="G219" s="347">
        <f>7000+18000</f>
        <v>25000</v>
      </c>
      <c r="H219" s="348">
        <v>25000</v>
      </c>
      <c r="I219" s="348"/>
      <c r="J219" s="248">
        <f t="shared" si="3"/>
        <v>100</v>
      </c>
      <c r="K219" s="23"/>
      <c r="L219" s="41"/>
    </row>
    <row r="220" spans="1:12" s="12" customFormat="1" ht="17.25" customHeight="1">
      <c r="A220" s="103"/>
      <c r="D220" s="321" t="s">
        <v>239</v>
      </c>
      <c r="E220" s="309"/>
      <c r="F220" s="270">
        <f>SUM(F221:F222)</f>
        <v>140000</v>
      </c>
      <c r="G220" s="270">
        <f>SUM(G221:G222)</f>
        <v>140000</v>
      </c>
      <c r="H220" s="270">
        <f>SUM(H221:H222)</f>
        <v>101531.67</v>
      </c>
      <c r="I220" s="270">
        <f>SUM(I221:I222)</f>
        <v>812.77</v>
      </c>
      <c r="J220" s="329">
        <f t="shared" si="3"/>
        <v>72.5</v>
      </c>
      <c r="K220" s="26"/>
      <c r="L220" s="34"/>
    </row>
    <row r="221" spans="1:11" ht="26.25" customHeight="1">
      <c r="A221" s="103"/>
      <c r="C221" s="12" t="s">
        <v>40</v>
      </c>
      <c r="D221" s="330" t="s">
        <v>240</v>
      </c>
      <c r="E221" s="292" t="s">
        <v>3</v>
      </c>
      <c r="F221" s="245">
        <v>70000</v>
      </c>
      <c r="G221" s="245">
        <v>70000</v>
      </c>
      <c r="H221" s="265">
        <v>70000</v>
      </c>
      <c r="I221" s="265"/>
      <c r="J221" s="333">
        <f t="shared" si="3"/>
        <v>100</v>
      </c>
      <c r="K221" s="26"/>
    </row>
    <row r="222" spans="1:12" s="25" customFormat="1" ht="29.25" customHeight="1">
      <c r="A222" s="104"/>
      <c r="B222" s="27"/>
      <c r="C222" s="27" t="s">
        <v>15</v>
      </c>
      <c r="D222" s="404" t="s">
        <v>280</v>
      </c>
      <c r="E222" s="340" t="s">
        <v>1</v>
      </c>
      <c r="F222" s="254">
        <v>70000</v>
      </c>
      <c r="G222" s="254">
        <v>70000</v>
      </c>
      <c r="H222" s="279">
        <v>31531.67</v>
      </c>
      <c r="I222" s="279">
        <v>812.77</v>
      </c>
      <c r="J222" s="255">
        <f t="shared" si="3"/>
        <v>45</v>
      </c>
      <c r="K222" s="28"/>
      <c r="L222" s="24"/>
    </row>
    <row r="223" spans="1:12" s="21" customFormat="1" ht="24" customHeight="1">
      <c r="A223" s="105"/>
      <c r="B223" s="22"/>
      <c r="C223" s="22"/>
      <c r="D223" s="256" t="s">
        <v>241</v>
      </c>
      <c r="E223" s="257"/>
      <c r="F223" s="258">
        <f>SUM(F224,F242,F255,F260,F265,F271,F272)</f>
        <v>7590150</v>
      </c>
      <c r="G223" s="258">
        <f>SUM(G224,G242,G255,G259,G265,G271,G272)</f>
        <v>9077335</v>
      </c>
      <c r="H223" s="258">
        <f>SUM(H224,H242,H255,H259,H265,H271,H272)</f>
        <v>7171982.130000002</v>
      </c>
      <c r="I223" s="258">
        <f>SUM(I224,I242,I255,I259,I265,I271,I272)</f>
        <v>1311128.5200000003</v>
      </c>
      <c r="J223" s="262">
        <f t="shared" si="3"/>
        <v>79</v>
      </c>
      <c r="K223" s="32"/>
      <c r="L223" s="41"/>
    </row>
    <row r="224" spans="1:12" s="12" customFormat="1" ht="17.25" customHeight="1">
      <c r="A224" s="103"/>
      <c r="D224" s="405" t="s">
        <v>45</v>
      </c>
      <c r="E224" s="260"/>
      <c r="F224" s="261">
        <f>SUM(F225,F230,F238:F241)</f>
        <v>4765000</v>
      </c>
      <c r="G224" s="261">
        <f>SUM(G225,G230,G238:G241)</f>
        <v>4850585</v>
      </c>
      <c r="H224" s="261">
        <f>SUM(H225,H230,H238:H241)</f>
        <v>3309372.8000000003</v>
      </c>
      <c r="I224" s="261">
        <f>SUM(I225,I230,I238:I241)</f>
        <v>982994.0700000001</v>
      </c>
      <c r="J224" s="246">
        <f t="shared" si="3"/>
        <v>68.2</v>
      </c>
      <c r="K224" s="26"/>
      <c r="L224" s="34"/>
    </row>
    <row r="225" spans="1:11" ht="16.5" customHeight="1">
      <c r="A225" s="103"/>
      <c r="C225" s="12" t="s">
        <v>15</v>
      </c>
      <c r="D225" s="406" t="s">
        <v>242</v>
      </c>
      <c r="E225" s="350" t="s">
        <v>1</v>
      </c>
      <c r="F225" s="336">
        <f>SUM(F226:F229)</f>
        <v>3427000</v>
      </c>
      <c r="G225" s="336">
        <f>SUM(G226:G229)</f>
        <v>2877000</v>
      </c>
      <c r="H225" s="336">
        <f>SUM(H226:H229)</f>
        <v>1502140.9900000002</v>
      </c>
      <c r="I225" s="336">
        <f>SUM(I226:I229)</f>
        <v>770882.74</v>
      </c>
      <c r="J225" s="329">
        <f t="shared" si="3"/>
        <v>52.2</v>
      </c>
      <c r="K225" s="26"/>
    </row>
    <row r="226" spans="1:12" s="45" customFormat="1" ht="15" customHeight="1">
      <c r="A226" s="110"/>
      <c r="D226" s="64" t="s">
        <v>243</v>
      </c>
      <c r="E226" s="65"/>
      <c r="F226" s="47">
        <v>300000</v>
      </c>
      <c r="G226" s="47">
        <f>300000-50000</f>
        <v>250000</v>
      </c>
      <c r="H226" s="119">
        <v>250001.14</v>
      </c>
      <c r="I226" s="119">
        <v>-107309.2</v>
      </c>
      <c r="J226" s="278">
        <f t="shared" si="3"/>
        <v>100</v>
      </c>
      <c r="K226" s="48"/>
      <c r="L226" s="66"/>
    </row>
    <row r="227" spans="1:12" s="45" customFormat="1" ht="15" customHeight="1">
      <c r="A227" s="110"/>
      <c r="D227" s="67" t="s">
        <v>244</v>
      </c>
      <c r="E227" s="68"/>
      <c r="F227" s="47">
        <v>1500000</v>
      </c>
      <c r="G227" s="69">
        <v>1500000</v>
      </c>
      <c r="H227" s="122">
        <v>852740.14</v>
      </c>
      <c r="I227" s="122">
        <v>588133.42</v>
      </c>
      <c r="J227" s="407">
        <f t="shared" si="3"/>
        <v>56.8</v>
      </c>
      <c r="K227" s="48"/>
      <c r="L227" s="66"/>
    </row>
    <row r="228" spans="1:12" s="45" customFormat="1" ht="15" customHeight="1">
      <c r="A228" s="110"/>
      <c r="D228" s="64" t="s">
        <v>46</v>
      </c>
      <c r="E228" s="65"/>
      <c r="F228" s="47">
        <v>862000</v>
      </c>
      <c r="G228" s="47">
        <f>862000-500000</f>
        <v>362000</v>
      </c>
      <c r="H228" s="119">
        <v>361720.11</v>
      </c>
      <c r="I228" s="119">
        <v>262558.72</v>
      </c>
      <c r="J228" s="278">
        <f t="shared" si="3"/>
        <v>99.9</v>
      </c>
      <c r="K228" s="48"/>
      <c r="L228" s="66"/>
    </row>
    <row r="229" spans="1:12" s="45" customFormat="1" ht="15" customHeight="1">
      <c r="A229" s="110"/>
      <c r="D229" s="67" t="s">
        <v>46</v>
      </c>
      <c r="E229" s="68"/>
      <c r="F229" s="47">
        <v>765000</v>
      </c>
      <c r="G229" s="69">
        <v>765000</v>
      </c>
      <c r="H229" s="122">
        <v>37679.6</v>
      </c>
      <c r="I229" s="122">
        <v>27499.8</v>
      </c>
      <c r="J229" s="407">
        <f t="shared" si="3"/>
        <v>4.9</v>
      </c>
      <c r="K229" s="48"/>
      <c r="L229" s="66"/>
    </row>
    <row r="230" spans="1:11" ht="16.5" customHeight="1">
      <c r="A230" s="103"/>
      <c r="C230" s="12" t="s">
        <v>15</v>
      </c>
      <c r="D230" s="275" t="s">
        <v>245</v>
      </c>
      <c r="E230" s="260" t="s">
        <v>1</v>
      </c>
      <c r="F230" s="276">
        <f>SUM(F233:F236)</f>
        <v>488000</v>
      </c>
      <c r="G230" s="276">
        <f>675000+28800+95000</f>
        <v>798800</v>
      </c>
      <c r="H230" s="276">
        <f>SUM(H233:H237)</f>
        <v>679970.95</v>
      </c>
      <c r="I230" s="276">
        <f>SUM(I233:I237)</f>
        <v>1440</v>
      </c>
      <c r="J230" s="278">
        <f t="shared" si="3"/>
        <v>85.1</v>
      </c>
      <c r="K230" s="26"/>
    </row>
    <row r="231" spans="1:11" ht="16.5" customHeight="1">
      <c r="A231" s="103"/>
      <c r="D231" s="275"/>
      <c r="E231" s="260"/>
      <c r="F231" s="276"/>
      <c r="G231" s="276"/>
      <c r="H231" s="277"/>
      <c r="I231" s="277"/>
      <c r="J231" s="262"/>
      <c r="K231" s="26"/>
    </row>
    <row r="232" spans="1:11" ht="16.5" customHeight="1">
      <c r="A232" s="103"/>
      <c r="D232" s="275"/>
      <c r="E232" s="260"/>
      <c r="F232" s="276"/>
      <c r="G232" s="276"/>
      <c r="H232" s="277"/>
      <c r="I232" s="277"/>
      <c r="J232" s="262"/>
      <c r="K232" s="26"/>
    </row>
    <row r="233" spans="1:12" s="50" customFormat="1" ht="15" customHeight="1">
      <c r="A233" s="110"/>
      <c r="B233" s="45"/>
      <c r="C233" s="45"/>
      <c r="D233" s="64" t="s">
        <v>246</v>
      </c>
      <c r="E233" s="65"/>
      <c r="F233" s="47">
        <v>200000</v>
      </c>
      <c r="G233" s="47"/>
      <c r="H233" s="119">
        <v>269567.86</v>
      </c>
      <c r="I233" s="119">
        <v>1440</v>
      </c>
      <c r="J233" s="262"/>
      <c r="K233" s="48"/>
      <c r="L233" s="49"/>
    </row>
    <row r="234" spans="1:12" s="50" customFormat="1" ht="15" customHeight="1">
      <c r="A234" s="110"/>
      <c r="B234" s="45"/>
      <c r="C234" s="45"/>
      <c r="D234" s="64" t="s">
        <v>247</v>
      </c>
      <c r="E234" s="65"/>
      <c r="F234" s="47">
        <v>118000</v>
      </c>
      <c r="G234" s="47"/>
      <c r="H234" s="119">
        <v>143140.25</v>
      </c>
      <c r="I234" s="119"/>
      <c r="J234" s="262"/>
      <c r="K234" s="48"/>
      <c r="L234" s="49"/>
    </row>
    <row r="235" spans="1:12" s="50" customFormat="1" ht="15" customHeight="1">
      <c r="A235" s="110"/>
      <c r="B235" s="45"/>
      <c r="C235" s="45"/>
      <c r="D235" s="64" t="s">
        <v>248</v>
      </c>
      <c r="E235" s="65"/>
      <c r="F235" s="47">
        <v>90000</v>
      </c>
      <c r="G235" s="47"/>
      <c r="H235" s="119">
        <v>103595.64</v>
      </c>
      <c r="I235" s="119"/>
      <c r="J235" s="262"/>
      <c r="K235" s="48"/>
      <c r="L235" s="49"/>
    </row>
    <row r="236" spans="1:12" s="50" customFormat="1" ht="15" customHeight="1">
      <c r="A236" s="110"/>
      <c r="B236" s="45"/>
      <c r="C236" s="45"/>
      <c r="D236" s="64" t="s">
        <v>249</v>
      </c>
      <c r="E236" s="65"/>
      <c r="F236" s="47">
        <v>80000</v>
      </c>
      <c r="G236" s="47"/>
      <c r="H236" s="119">
        <v>134867.2</v>
      </c>
      <c r="I236" s="119"/>
      <c r="J236" s="262"/>
      <c r="K236" s="48"/>
      <c r="L236" s="49"/>
    </row>
    <row r="237" spans="1:12" s="50" customFormat="1" ht="15" customHeight="1">
      <c r="A237" s="110"/>
      <c r="B237" s="45"/>
      <c r="C237" s="45"/>
      <c r="D237" s="70" t="s">
        <v>250</v>
      </c>
      <c r="E237" s="71"/>
      <c r="F237" s="72"/>
      <c r="G237" s="72">
        <v>28800</v>
      </c>
      <c r="H237" s="123">
        <v>28800</v>
      </c>
      <c r="I237" s="123"/>
      <c r="J237" s="408">
        <v>100</v>
      </c>
      <c r="K237" s="48"/>
      <c r="L237" s="49"/>
    </row>
    <row r="238" spans="1:11" ht="15">
      <c r="A238" s="103"/>
      <c r="C238" s="12" t="s">
        <v>15</v>
      </c>
      <c r="D238" s="409" t="s">
        <v>251</v>
      </c>
      <c r="E238" s="250" t="s">
        <v>1</v>
      </c>
      <c r="F238" s="266">
        <v>300000</v>
      </c>
      <c r="G238" s="266">
        <f>300000+117511</f>
        <v>417511</v>
      </c>
      <c r="H238" s="267">
        <v>412858.33</v>
      </c>
      <c r="I238" s="267"/>
      <c r="J238" s="248">
        <f>ROUND(H238/G238*100,1)</f>
        <v>98.9</v>
      </c>
      <c r="K238" s="26"/>
    </row>
    <row r="239" spans="1:11" ht="15">
      <c r="A239" s="103"/>
      <c r="C239" s="12" t="s">
        <v>15</v>
      </c>
      <c r="D239" s="409" t="s">
        <v>252</v>
      </c>
      <c r="E239" s="250" t="s">
        <v>1</v>
      </c>
      <c r="F239" s="266">
        <v>390000</v>
      </c>
      <c r="G239" s="266">
        <f>390000+170000</f>
        <v>560000</v>
      </c>
      <c r="H239" s="267">
        <v>518524.13</v>
      </c>
      <c r="I239" s="267">
        <v>140166.53</v>
      </c>
      <c r="J239" s="248">
        <f>ROUND(H239/G239*100,1)</f>
        <v>92.6</v>
      </c>
      <c r="K239" s="26"/>
    </row>
    <row r="240" spans="1:11" ht="15">
      <c r="A240" s="103"/>
      <c r="C240" s="12" t="s">
        <v>15</v>
      </c>
      <c r="D240" s="409" t="s">
        <v>137</v>
      </c>
      <c r="E240" s="250" t="s">
        <v>1</v>
      </c>
      <c r="F240" s="266">
        <v>90000</v>
      </c>
      <c r="G240" s="266">
        <v>90000</v>
      </c>
      <c r="H240" s="267">
        <v>89998.8</v>
      </c>
      <c r="I240" s="267">
        <v>70504.8</v>
      </c>
      <c r="J240" s="248">
        <f>ROUND(H240/G240*100,1)</f>
        <v>100</v>
      </c>
      <c r="K240" s="26"/>
    </row>
    <row r="241" spans="1:12" s="25" customFormat="1" ht="30">
      <c r="A241" s="102"/>
      <c r="B241" s="21"/>
      <c r="C241" s="21" t="s">
        <v>15</v>
      </c>
      <c r="D241" s="410" t="s">
        <v>253</v>
      </c>
      <c r="E241" s="355" t="s">
        <v>1</v>
      </c>
      <c r="F241" s="356">
        <v>70000</v>
      </c>
      <c r="G241" s="356">
        <f>70000+37274</f>
        <v>107274</v>
      </c>
      <c r="H241" s="357">
        <v>105879.6</v>
      </c>
      <c r="I241" s="357"/>
      <c r="J241" s="248">
        <f>ROUND(H241/G241*100,1)</f>
        <v>98.7</v>
      </c>
      <c r="K241" s="23"/>
      <c r="L241" s="24"/>
    </row>
    <row r="242" spans="1:12" s="21" customFormat="1" ht="30" customHeight="1">
      <c r="A242" s="102"/>
      <c r="C242" s="21" t="s">
        <v>15</v>
      </c>
      <c r="D242" s="346" t="s">
        <v>364</v>
      </c>
      <c r="E242" s="411" t="s">
        <v>1</v>
      </c>
      <c r="F242" s="347">
        <f>SUM(F243:F253)</f>
        <v>1465000</v>
      </c>
      <c r="G242" s="474">
        <f>-22960+1891466</f>
        <v>1868506</v>
      </c>
      <c r="H242" s="347">
        <f>SUM(H243:H254)</f>
        <v>1743871.34</v>
      </c>
      <c r="I242" s="347">
        <f>SUM(I243:I254)</f>
        <v>123275.73999999999</v>
      </c>
      <c r="J242" s="329">
        <f>ROUND(H242/G242*100,1)</f>
        <v>93.3</v>
      </c>
      <c r="K242" s="23"/>
      <c r="L242" s="475"/>
    </row>
    <row r="243" spans="1:12" s="45" customFormat="1" ht="15" customHeight="1">
      <c r="A243" s="110"/>
      <c r="D243" s="64" t="s">
        <v>254</v>
      </c>
      <c r="E243" s="65"/>
      <c r="F243" s="47">
        <v>300000</v>
      </c>
      <c r="G243" s="47"/>
      <c r="H243" s="119">
        <v>216230.28</v>
      </c>
      <c r="I243" s="119">
        <v>13304.4</v>
      </c>
      <c r="J243" s="262"/>
      <c r="K243" s="48"/>
      <c r="L243" s="66"/>
    </row>
    <row r="244" spans="1:12" s="45" customFormat="1" ht="15" customHeight="1">
      <c r="A244" s="110"/>
      <c r="D244" s="64" t="s">
        <v>255</v>
      </c>
      <c r="E244" s="65"/>
      <c r="F244" s="47">
        <v>290000</v>
      </c>
      <c r="G244" s="47"/>
      <c r="H244" s="119">
        <v>308474.95</v>
      </c>
      <c r="I244" s="119">
        <v>13594.8</v>
      </c>
      <c r="J244" s="262"/>
      <c r="K244" s="48"/>
      <c r="L244" s="66"/>
    </row>
    <row r="245" spans="1:12" s="45" customFormat="1" ht="15" customHeight="1">
      <c r="A245" s="110"/>
      <c r="D245" s="64" t="s">
        <v>256</v>
      </c>
      <c r="E245" s="65"/>
      <c r="F245" s="47">
        <v>250000</v>
      </c>
      <c r="G245" s="47"/>
      <c r="H245" s="119">
        <v>434974.23</v>
      </c>
      <c r="I245" s="119"/>
      <c r="J245" s="262"/>
      <c r="K245" s="48"/>
      <c r="L245" s="66"/>
    </row>
    <row r="246" spans="1:12" s="45" customFormat="1" ht="15" customHeight="1">
      <c r="A246" s="110"/>
      <c r="D246" s="64" t="s">
        <v>313</v>
      </c>
      <c r="E246" s="65"/>
      <c r="F246" s="47"/>
      <c r="G246" s="47"/>
      <c r="H246" s="119">
        <v>100451.51</v>
      </c>
      <c r="I246" s="119"/>
      <c r="J246" s="262"/>
      <c r="K246" s="48"/>
      <c r="L246" s="66"/>
    </row>
    <row r="247" spans="1:12" s="45" customFormat="1" ht="15" customHeight="1">
      <c r="A247" s="110"/>
      <c r="D247" s="64" t="s">
        <v>257</v>
      </c>
      <c r="E247" s="65"/>
      <c r="F247" s="47">
        <v>125000</v>
      </c>
      <c r="G247" s="47"/>
      <c r="H247" s="119">
        <v>42960</v>
      </c>
      <c r="I247" s="119"/>
      <c r="J247" s="262"/>
      <c r="K247" s="48"/>
      <c r="L247" s="66"/>
    </row>
    <row r="248" spans="1:12" s="45" customFormat="1" ht="15" customHeight="1">
      <c r="A248" s="110"/>
      <c r="D248" s="64" t="s">
        <v>49</v>
      </c>
      <c r="E248" s="65"/>
      <c r="F248" s="47">
        <v>105000</v>
      </c>
      <c r="G248" s="47"/>
      <c r="H248" s="119">
        <v>171638.53</v>
      </c>
      <c r="I248" s="119">
        <v>37819</v>
      </c>
      <c r="J248" s="262"/>
      <c r="K248" s="48"/>
      <c r="L248" s="66"/>
    </row>
    <row r="249" spans="1:12" s="45" customFormat="1" ht="15" customHeight="1">
      <c r="A249" s="110"/>
      <c r="D249" s="64" t="s">
        <v>258</v>
      </c>
      <c r="E249" s="65"/>
      <c r="F249" s="47">
        <v>105000</v>
      </c>
      <c r="G249" s="47"/>
      <c r="H249" s="119">
        <v>129111.11</v>
      </c>
      <c r="I249" s="119">
        <v>40655.34</v>
      </c>
      <c r="J249" s="262"/>
      <c r="K249" s="48"/>
      <c r="L249" s="66"/>
    </row>
    <row r="250" spans="1:12" s="45" customFormat="1" ht="15" customHeight="1">
      <c r="A250" s="110"/>
      <c r="D250" s="64" t="s">
        <v>47</v>
      </c>
      <c r="E250" s="65"/>
      <c r="F250" s="47">
        <v>100000</v>
      </c>
      <c r="G250" s="47"/>
      <c r="H250" s="119">
        <v>122784.31</v>
      </c>
      <c r="I250" s="119"/>
      <c r="J250" s="262"/>
      <c r="K250" s="48"/>
      <c r="L250" s="66"/>
    </row>
    <row r="251" spans="1:12" s="45" customFormat="1" ht="15" customHeight="1">
      <c r="A251" s="110"/>
      <c r="D251" s="64" t="s">
        <v>259</v>
      </c>
      <c r="E251" s="65"/>
      <c r="F251" s="47">
        <v>70000</v>
      </c>
      <c r="G251" s="47"/>
      <c r="H251" s="119">
        <v>57227.52</v>
      </c>
      <c r="I251" s="119">
        <v>247.8</v>
      </c>
      <c r="J251" s="262"/>
      <c r="K251" s="48"/>
      <c r="L251" s="66"/>
    </row>
    <row r="252" spans="1:12" s="45" customFormat="1" ht="15" customHeight="1">
      <c r="A252" s="110"/>
      <c r="D252" s="64" t="s">
        <v>48</v>
      </c>
      <c r="E252" s="65"/>
      <c r="F252" s="47">
        <v>70000</v>
      </c>
      <c r="G252" s="47"/>
      <c r="H252" s="119">
        <v>111813.9</v>
      </c>
      <c r="I252" s="119">
        <v>17654.4</v>
      </c>
      <c r="J252" s="262"/>
      <c r="K252" s="48"/>
      <c r="L252" s="66"/>
    </row>
    <row r="253" spans="1:12" s="45" customFormat="1" ht="15" customHeight="1">
      <c r="A253" s="110"/>
      <c r="D253" s="64" t="s">
        <v>50</v>
      </c>
      <c r="E253" s="65"/>
      <c r="F253" s="47">
        <v>50000</v>
      </c>
      <c r="G253" s="47"/>
      <c r="H253" s="119">
        <v>34758</v>
      </c>
      <c r="I253" s="119"/>
      <c r="J253" s="262"/>
      <c r="K253" s="48"/>
      <c r="L253" s="66"/>
    </row>
    <row r="254" spans="1:12" s="45" customFormat="1" ht="15" customHeight="1">
      <c r="A254" s="110"/>
      <c r="D254" s="64" t="s">
        <v>396</v>
      </c>
      <c r="E254" s="65"/>
      <c r="F254" s="47"/>
      <c r="G254" s="47"/>
      <c r="H254" s="119">
        <v>13447</v>
      </c>
      <c r="I254" s="119"/>
      <c r="J254" s="262"/>
      <c r="L254" s="66"/>
    </row>
    <row r="255" spans="1:12" s="45" customFormat="1" ht="29.25" customHeight="1">
      <c r="A255" s="110"/>
      <c r="D255" s="412" t="s">
        <v>365</v>
      </c>
      <c r="E255" s="73"/>
      <c r="F255" s="74">
        <f>SUM(F256,F258)</f>
        <v>44000</v>
      </c>
      <c r="G255" s="74">
        <f>SUM(G256:G258)</f>
        <v>217150</v>
      </c>
      <c r="H255" s="74">
        <f>SUM(H256:H258)</f>
        <v>216659.94</v>
      </c>
      <c r="I255" s="74">
        <f>SUM(I256:I258)</f>
        <v>6040</v>
      </c>
      <c r="J255" s="287">
        <f>ROUND(H255/G255*100,1)</f>
        <v>99.8</v>
      </c>
      <c r="K255" s="74">
        <f>SUM(K256,K258)</f>
        <v>0</v>
      </c>
      <c r="L255" s="66"/>
    </row>
    <row r="256" spans="1:12" s="21" customFormat="1" ht="30" customHeight="1">
      <c r="A256" s="102"/>
      <c r="C256" s="21" t="s">
        <v>15</v>
      </c>
      <c r="D256" s="413" t="s">
        <v>261</v>
      </c>
      <c r="E256" s="414" t="s">
        <v>1</v>
      </c>
      <c r="F256" s="415">
        <v>44000</v>
      </c>
      <c r="G256" s="416">
        <f>44000+20000</f>
        <v>64000</v>
      </c>
      <c r="H256" s="417">
        <v>64041.24</v>
      </c>
      <c r="I256" s="417">
        <v>6040</v>
      </c>
      <c r="J256" s="329">
        <f>ROUND(H256/G256*100,1)</f>
        <v>100.1</v>
      </c>
      <c r="K256" s="23"/>
      <c r="L256" s="41"/>
    </row>
    <row r="257" spans="1:12" s="21" customFormat="1" ht="30" customHeight="1">
      <c r="A257" s="102"/>
      <c r="C257" s="21" t="s">
        <v>15</v>
      </c>
      <c r="D257" s="413" t="s">
        <v>330</v>
      </c>
      <c r="E257" s="414" t="s">
        <v>1</v>
      </c>
      <c r="F257" s="415"/>
      <c r="G257" s="416">
        <v>18309</v>
      </c>
      <c r="H257" s="402">
        <v>18309</v>
      </c>
      <c r="I257" s="402"/>
      <c r="J257" s="329">
        <f>ROUND(H257/G257*100,1)</f>
        <v>100</v>
      </c>
      <c r="K257" s="23"/>
      <c r="L257" s="41"/>
    </row>
    <row r="258" spans="1:12" s="21" customFormat="1" ht="30" customHeight="1">
      <c r="A258" s="102"/>
      <c r="C258" s="21" t="s">
        <v>15</v>
      </c>
      <c r="D258" s="413" t="s">
        <v>344</v>
      </c>
      <c r="E258" s="414" t="s">
        <v>1</v>
      </c>
      <c r="F258" s="415"/>
      <c r="G258" s="416">
        <f>227842-44001-49000</f>
        <v>134841</v>
      </c>
      <c r="H258" s="417">
        <v>134309.7</v>
      </c>
      <c r="I258" s="417"/>
      <c r="J258" s="329">
        <f>ROUND(H258/G258*100,1)</f>
        <v>99.6</v>
      </c>
      <c r="K258" s="23"/>
      <c r="L258" s="41"/>
    </row>
    <row r="259" spans="1:12" s="21" customFormat="1" ht="30" customHeight="1">
      <c r="A259" s="102"/>
      <c r="D259" s="418" t="s">
        <v>397</v>
      </c>
      <c r="E259" s="414"/>
      <c r="F259" s="415"/>
      <c r="G259" s="347">
        <f>SUM(G260:G264)</f>
        <v>629620</v>
      </c>
      <c r="H259" s="347">
        <f>SUM(H260:H264)</f>
        <v>630466.2300000001</v>
      </c>
      <c r="I259" s="474">
        <f>SUM(I260:I264)</f>
        <v>76402</v>
      </c>
      <c r="J259" s="329">
        <f>ROUND(H259/G259*100,1)</f>
        <v>100.1</v>
      </c>
      <c r="K259" s="23"/>
      <c r="L259" s="475"/>
    </row>
    <row r="260" spans="1:12" s="21" customFormat="1" ht="15">
      <c r="A260" s="102"/>
      <c r="C260" s="21" t="s">
        <v>15</v>
      </c>
      <c r="D260" s="420" t="s">
        <v>366</v>
      </c>
      <c r="E260" s="414" t="s">
        <v>1</v>
      </c>
      <c r="F260" s="415">
        <v>476500</v>
      </c>
      <c r="G260" s="419">
        <v>476500</v>
      </c>
      <c r="H260" s="402">
        <v>473809.51</v>
      </c>
      <c r="I260" s="402">
        <v>76402</v>
      </c>
      <c r="J260" s="248">
        <f aca="true" t="shared" si="4" ref="J260:J298">ROUND(H260/G260*100,1)</f>
        <v>99.4</v>
      </c>
      <c r="K260" s="23"/>
      <c r="L260" s="41"/>
    </row>
    <row r="261" spans="1:12" s="21" customFormat="1" ht="15">
      <c r="A261" s="102"/>
      <c r="C261" s="476" t="s">
        <v>15</v>
      </c>
      <c r="D261" s="452" t="s">
        <v>260</v>
      </c>
      <c r="E261" s="477" t="s">
        <v>1</v>
      </c>
      <c r="F261" s="478"/>
      <c r="G261" s="479">
        <f>9960+2160</f>
        <v>12120</v>
      </c>
      <c r="H261" s="480">
        <v>12120</v>
      </c>
      <c r="I261" s="481"/>
      <c r="J261" s="482"/>
      <c r="K261" s="483"/>
      <c r="L261" s="475"/>
    </row>
    <row r="262" spans="1:14" s="21" customFormat="1" ht="15">
      <c r="A262" s="102"/>
      <c r="C262" s="476" t="s">
        <v>15</v>
      </c>
      <c r="D262" s="452" t="s">
        <v>367</v>
      </c>
      <c r="E262" s="484" t="s">
        <v>1</v>
      </c>
      <c r="F262" s="454"/>
      <c r="G262" s="479">
        <v>90000</v>
      </c>
      <c r="H262" s="480">
        <v>90000</v>
      </c>
      <c r="I262" s="480"/>
      <c r="J262" s="302"/>
      <c r="K262" s="483"/>
      <c r="L262" s="475"/>
      <c r="N262" s="21" t="s">
        <v>384</v>
      </c>
    </row>
    <row r="263" spans="1:12" s="21" customFormat="1" ht="15">
      <c r="A263" s="102"/>
      <c r="C263" s="21" t="s">
        <v>15</v>
      </c>
      <c r="D263" s="456" t="s">
        <v>367</v>
      </c>
      <c r="E263" s="485" t="s">
        <v>1</v>
      </c>
      <c r="F263" s="486"/>
      <c r="G263" s="359">
        <v>31000</v>
      </c>
      <c r="H263" s="402">
        <v>31167.92</v>
      </c>
      <c r="I263" s="487"/>
      <c r="J263" s="248">
        <f t="shared" si="4"/>
        <v>100.5</v>
      </c>
      <c r="K263" s="483"/>
      <c r="L263" s="475"/>
    </row>
    <row r="264" spans="1:12" s="21" customFormat="1" ht="15">
      <c r="A264" s="102"/>
      <c r="C264" s="21" t="s">
        <v>15</v>
      </c>
      <c r="D264" s="413" t="s">
        <v>314</v>
      </c>
      <c r="E264" s="414" t="s">
        <v>1</v>
      </c>
      <c r="F264" s="415"/>
      <c r="G264" s="419">
        <v>20000</v>
      </c>
      <c r="H264" s="402">
        <v>23368.8</v>
      </c>
      <c r="I264" s="402"/>
      <c r="J264" s="248">
        <f t="shared" si="4"/>
        <v>116.8</v>
      </c>
      <c r="K264" s="23"/>
      <c r="L264" s="41"/>
    </row>
    <row r="265" spans="1:12" s="12" customFormat="1" ht="17.25" customHeight="1">
      <c r="A265" s="103"/>
      <c r="D265" s="349" t="s">
        <v>368</v>
      </c>
      <c r="E265" s="421"/>
      <c r="F265" s="270">
        <f>SUM(F266:F270)</f>
        <v>109650</v>
      </c>
      <c r="G265" s="270">
        <f>SUM(G266:G270)</f>
        <v>438650</v>
      </c>
      <c r="H265" s="270">
        <f>SUM(H266:H270)</f>
        <v>324321.16</v>
      </c>
      <c r="I265" s="270">
        <f>SUM(I266:I270)</f>
        <v>6079.6</v>
      </c>
      <c r="J265" s="329">
        <f t="shared" si="4"/>
        <v>73.9</v>
      </c>
      <c r="K265" s="26"/>
      <c r="L265" s="34"/>
    </row>
    <row r="266" spans="1:11" ht="16.5" customHeight="1">
      <c r="A266" s="103"/>
      <c r="C266" s="12" t="s">
        <v>15</v>
      </c>
      <c r="D266" s="263" t="s">
        <v>262</v>
      </c>
      <c r="E266" s="422" t="s">
        <v>1</v>
      </c>
      <c r="F266" s="245">
        <v>100000</v>
      </c>
      <c r="G266" s="245">
        <f>100000+130000+130000-80000+80000-110000</f>
        <v>250000</v>
      </c>
      <c r="H266" s="265">
        <v>229854</v>
      </c>
      <c r="I266" s="265">
        <v>1800</v>
      </c>
      <c r="J266" s="246">
        <f t="shared" si="4"/>
        <v>91.9</v>
      </c>
      <c r="K266" s="26"/>
    </row>
    <row r="267" spans="1:11" ht="16.5" customHeight="1">
      <c r="A267" s="103"/>
      <c r="C267" s="12" t="s">
        <v>10</v>
      </c>
      <c r="D267" s="423" t="s">
        <v>331</v>
      </c>
      <c r="E267" s="424" t="s">
        <v>1</v>
      </c>
      <c r="F267" s="425"/>
      <c r="G267" s="425">
        <v>20000</v>
      </c>
      <c r="H267" s="426">
        <v>19999.8</v>
      </c>
      <c r="I267" s="426"/>
      <c r="J267" s="408">
        <f t="shared" si="4"/>
        <v>100</v>
      </c>
      <c r="K267" s="26"/>
    </row>
    <row r="268" spans="1:11" ht="16.5" customHeight="1">
      <c r="A268" s="103"/>
      <c r="C268" s="12" t="s">
        <v>10</v>
      </c>
      <c r="D268" s="263" t="s">
        <v>332</v>
      </c>
      <c r="E268" s="422" t="s">
        <v>1</v>
      </c>
      <c r="F268" s="245"/>
      <c r="G268" s="245">
        <v>50000</v>
      </c>
      <c r="H268" s="265">
        <v>21561.6</v>
      </c>
      <c r="I268" s="265"/>
      <c r="J268" s="246">
        <f t="shared" si="4"/>
        <v>43.1</v>
      </c>
      <c r="K268" s="26"/>
    </row>
    <row r="269" spans="1:12" s="25" customFormat="1" ht="16.5" customHeight="1">
      <c r="A269" s="102"/>
      <c r="B269" s="21"/>
      <c r="C269" s="21" t="s">
        <v>10</v>
      </c>
      <c r="D269" s="427" t="s">
        <v>263</v>
      </c>
      <c r="E269" s="428" t="s">
        <v>1</v>
      </c>
      <c r="F269" s="429">
        <v>3100</v>
      </c>
      <c r="G269" s="429">
        <v>40550</v>
      </c>
      <c r="H269" s="430">
        <v>40550</v>
      </c>
      <c r="I269" s="430">
        <v>4279.6</v>
      </c>
      <c r="J269" s="302">
        <f t="shared" si="4"/>
        <v>100</v>
      </c>
      <c r="K269" s="23"/>
      <c r="L269" s="24"/>
    </row>
    <row r="270" spans="1:12" s="25" customFormat="1" ht="33" customHeight="1">
      <c r="A270" s="102"/>
      <c r="B270" s="21"/>
      <c r="C270" s="21" t="s">
        <v>10</v>
      </c>
      <c r="D270" s="431" t="s">
        <v>263</v>
      </c>
      <c r="E270" s="432" t="s">
        <v>1</v>
      </c>
      <c r="F270" s="356">
        <v>6550</v>
      </c>
      <c r="G270" s="356">
        <v>78100</v>
      </c>
      <c r="H270" s="402">
        <v>12355.76</v>
      </c>
      <c r="I270" s="402"/>
      <c r="J270" s="248">
        <f t="shared" si="4"/>
        <v>15.8</v>
      </c>
      <c r="K270" s="23"/>
      <c r="L270" s="24"/>
    </row>
    <row r="271" spans="1:12" s="21" customFormat="1" ht="59.25" customHeight="1">
      <c r="A271" s="102"/>
      <c r="C271" s="21" t="s">
        <v>10</v>
      </c>
      <c r="D271" s="418" t="s">
        <v>369</v>
      </c>
      <c r="E271" s="414" t="s">
        <v>1</v>
      </c>
      <c r="F271" s="415">
        <v>18000</v>
      </c>
      <c r="G271" s="415">
        <v>18000</v>
      </c>
      <c r="H271" s="348"/>
      <c r="I271" s="348"/>
      <c r="J271" s="308">
        <f t="shared" si="4"/>
        <v>0</v>
      </c>
      <c r="K271" s="23"/>
      <c r="L271" s="41"/>
    </row>
    <row r="272" spans="1:12" s="12" customFormat="1" ht="17.25" customHeight="1">
      <c r="A272" s="103"/>
      <c r="D272" s="433" t="s">
        <v>51</v>
      </c>
      <c r="E272" s="350"/>
      <c r="F272" s="270">
        <f>SUM(F273:F278,F282)</f>
        <v>712000</v>
      </c>
      <c r="G272" s="270">
        <f>SUM(G273:G278,G282)</f>
        <v>1054824</v>
      </c>
      <c r="H272" s="270">
        <f>SUM(H273:H278,H282)</f>
        <v>947290.6599999999</v>
      </c>
      <c r="I272" s="270">
        <f>SUM(I273:I278,I282)</f>
        <v>116337.11</v>
      </c>
      <c r="J272" s="434">
        <f t="shared" si="4"/>
        <v>89.8</v>
      </c>
      <c r="K272" s="26"/>
      <c r="L272" s="34"/>
    </row>
    <row r="273" spans="1:11" ht="16.5" customHeight="1">
      <c r="A273" s="103"/>
      <c r="C273" s="12" t="s">
        <v>15</v>
      </c>
      <c r="D273" s="263" t="s">
        <v>52</v>
      </c>
      <c r="E273" s="264" t="s">
        <v>1</v>
      </c>
      <c r="F273" s="245">
        <v>280000</v>
      </c>
      <c r="G273" s="245">
        <f>280000+70000</f>
        <v>350000</v>
      </c>
      <c r="H273" s="265">
        <v>349588.05</v>
      </c>
      <c r="I273" s="265">
        <v>30101.78</v>
      </c>
      <c r="J273" s="246">
        <f t="shared" si="4"/>
        <v>99.9</v>
      </c>
      <c r="K273" s="26"/>
    </row>
    <row r="274" spans="1:11" ht="16.5" customHeight="1">
      <c r="A274" s="103"/>
      <c r="C274" s="12" t="s">
        <v>15</v>
      </c>
      <c r="D274" s="423" t="s">
        <v>52</v>
      </c>
      <c r="E274" s="435" t="s">
        <v>1</v>
      </c>
      <c r="F274" s="425"/>
      <c r="G274" s="425">
        <v>24824</v>
      </c>
      <c r="H274" s="426">
        <v>24824</v>
      </c>
      <c r="I274" s="426">
        <v>24824</v>
      </c>
      <c r="J274" s="408">
        <f t="shared" si="4"/>
        <v>100</v>
      </c>
      <c r="K274" s="26"/>
    </row>
    <row r="275" spans="1:11" ht="15">
      <c r="A275" s="103"/>
      <c r="C275" s="12" t="s">
        <v>15</v>
      </c>
      <c r="D275" s="249" t="s">
        <v>264</v>
      </c>
      <c r="E275" s="250" t="s">
        <v>1</v>
      </c>
      <c r="F275" s="266">
        <v>130000</v>
      </c>
      <c r="G275" s="266">
        <f>130000+8000</f>
        <v>138000</v>
      </c>
      <c r="H275" s="267">
        <v>134239.2</v>
      </c>
      <c r="I275" s="267">
        <v>41953.2</v>
      </c>
      <c r="J275" s="248">
        <f t="shared" si="4"/>
        <v>97.3</v>
      </c>
      <c r="K275" s="26"/>
    </row>
    <row r="276" spans="1:11" ht="30">
      <c r="A276" s="103"/>
      <c r="C276" s="12" t="s">
        <v>15</v>
      </c>
      <c r="D276" s="249" t="s">
        <v>53</v>
      </c>
      <c r="E276" s="250" t="s">
        <v>1</v>
      </c>
      <c r="F276" s="266">
        <v>100000</v>
      </c>
      <c r="G276" s="266">
        <v>100000</v>
      </c>
      <c r="H276" s="267">
        <v>97782.75</v>
      </c>
      <c r="I276" s="267">
        <v>9533.52</v>
      </c>
      <c r="J276" s="333">
        <f t="shared" si="4"/>
        <v>97.8</v>
      </c>
      <c r="K276" s="26"/>
    </row>
    <row r="277" spans="1:11" ht="33.75" customHeight="1">
      <c r="A277" s="103"/>
      <c r="C277" s="12" t="s">
        <v>15</v>
      </c>
      <c r="D277" s="249" t="s">
        <v>265</v>
      </c>
      <c r="E277" s="250" t="s">
        <v>1</v>
      </c>
      <c r="F277" s="266">
        <v>32000</v>
      </c>
      <c r="G277" s="266">
        <v>32000</v>
      </c>
      <c r="H277" s="267">
        <v>32298</v>
      </c>
      <c r="I277" s="267"/>
      <c r="J277" s="248">
        <f t="shared" si="4"/>
        <v>100.9</v>
      </c>
      <c r="K277" s="26"/>
    </row>
    <row r="278" spans="1:11" ht="15">
      <c r="A278" s="103"/>
      <c r="C278" s="12" t="s">
        <v>15</v>
      </c>
      <c r="D278" s="406" t="s">
        <v>266</v>
      </c>
      <c r="E278" s="350" t="s">
        <v>1</v>
      </c>
      <c r="F278" s="336">
        <f>SUM(F279:F281)</f>
        <v>170000</v>
      </c>
      <c r="G278" s="336">
        <f>170000+50000+45000+15000</f>
        <v>280000</v>
      </c>
      <c r="H278" s="337">
        <v>227095.18</v>
      </c>
      <c r="I278" s="337"/>
      <c r="J278" s="329">
        <f t="shared" si="4"/>
        <v>81.1</v>
      </c>
      <c r="K278" s="26"/>
    </row>
    <row r="279" spans="1:12" s="45" customFormat="1" ht="15">
      <c r="A279" s="110"/>
      <c r="D279" s="64" t="s">
        <v>267</v>
      </c>
      <c r="E279" s="65"/>
      <c r="F279" s="75">
        <v>125000</v>
      </c>
      <c r="G279" s="75">
        <v>125000</v>
      </c>
      <c r="H279" s="119"/>
      <c r="I279" s="119"/>
      <c r="J279" s="278">
        <f t="shared" si="4"/>
        <v>0</v>
      </c>
      <c r="K279" s="48"/>
      <c r="L279" s="66"/>
    </row>
    <row r="280" spans="1:12" s="45" customFormat="1" ht="15">
      <c r="A280" s="110"/>
      <c r="D280" s="64" t="s">
        <v>268</v>
      </c>
      <c r="E280" s="65"/>
      <c r="F280" s="75">
        <v>35000</v>
      </c>
      <c r="G280" s="75">
        <v>35000</v>
      </c>
      <c r="H280" s="119"/>
      <c r="I280" s="119"/>
      <c r="J280" s="278"/>
      <c r="K280" s="48"/>
      <c r="L280" s="66"/>
    </row>
    <row r="281" spans="1:12" s="45" customFormat="1" ht="15">
      <c r="A281" s="115"/>
      <c r="B281" s="76"/>
      <c r="C281" s="76"/>
      <c r="D281" s="89" t="s">
        <v>269</v>
      </c>
      <c r="E281" s="90"/>
      <c r="F281" s="91">
        <v>10000</v>
      </c>
      <c r="G281" s="91">
        <v>230</v>
      </c>
      <c r="H281" s="124"/>
      <c r="I281" s="124"/>
      <c r="J281" s="278">
        <f t="shared" si="4"/>
        <v>0</v>
      </c>
      <c r="K281" s="77"/>
      <c r="L281" s="66"/>
    </row>
    <row r="282" spans="1:12" s="45" customFormat="1" ht="15">
      <c r="A282" s="110"/>
      <c r="C282" s="92" t="s">
        <v>15</v>
      </c>
      <c r="D282" s="436" t="s">
        <v>270</v>
      </c>
      <c r="E282" s="68" t="s">
        <v>1</v>
      </c>
      <c r="F282" s="93"/>
      <c r="G282" s="94">
        <f>130000</f>
        <v>130000</v>
      </c>
      <c r="H282" s="122">
        <v>81463.48</v>
      </c>
      <c r="I282" s="122">
        <v>9924.61</v>
      </c>
      <c r="J282" s="437">
        <f t="shared" si="4"/>
        <v>62.7</v>
      </c>
      <c r="K282" s="48"/>
      <c r="L282" s="66"/>
    </row>
    <row r="283" spans="1:12" s="21" customFormat="1" ht="24" customHeight="1">
      <c r="A283" s="105"/>
      <c r="B283" s="22"/>
      <c r="C283" s="22"/>
      <c r="D283" s="256" t="s">
        <v>271</v>
      </c>
      <c r="E283" s="257"/>
      <c r="F283" s="258">
        <f>SUM(F285,F289,F292,F295)</f>
        <v>162500</v>
      </c>
      <c r="G283" s="258">
        <f>SUM(G284,G288,G291,G295)</f>
        <v>220363</v>
      </c>
      <c r="H283" s="258">
        <f>SUM(H284,H288,H291,H295)</f>
        <v>197788.55</v>
      </c>
      <c r="I283" s="258">
        <f>SUM(I284,I288,I291,I295)</f>
        <v>9500</v>
      </c>
      <c r="J283" s="242">
        <f t="shared" si="4"/>
        <v>89.8</v>
      </c>
      <c r="K283" s="32"/>
      <c r="L283" s="41"/>
    </row>
    <row r="284" spans="1:12" s="21" customFormat="1" ht="24" customHeight="1">
      <c r="A284" s="102"/>
      <c r="C284" s="438"/>
      <c r="D284" s="439" t="s">
        <v>370</v>
      </c>
      <c r="E284" s="355"/>
      <c r="F284" s="440"/>
      <c r="G284" s="440">
        <f>SUM(G285:G287)</f>
        <v>45000</v>
      </c>
      <c r="H284" s="440">
        <f>SUM(H285:H287)</f>
        <v>44628.91</v>
      </c>
      <c r="I284" s="440">
        <f>SUM(I285:I287)</f>
        <v>5612</v>
      </c>
      <c r="J284" s="248">
        <f t="shared" si="4"/>
        <v>99.2</v>
      </c>
      <c r="K284" s="23"/>
      <c r="L284" s="41"/>
    </row>
    <row r="285" spans="1:12" s="25" customFormat="1" ht="39" customHeight="1">
      <c r="A285" s="102"/>
      <c r="B285" s="21"/>
      <c r="C285" s="21" t="s">
        <v>15</v>
      </c>
      <c r="D285" s="441" t="s">
        <v>371</v>
      </c>
      <c r="E285" s="344" t="s">
        <v>1</v>
      </c>
      <c r="F285" s="442">
        <v>39000</v>
      </c>
      <c r="G285" s="443">
        <v>32000</v>
      </c>
      <c r="H285" s="444">
        <v>32016.91</v>
      </c>
      <c r="I285" s="444"/>
      <c r="J285" s="246">
        <f t="shared" si="4"/>
        <v>100.1</v>
      </c>
      <c r="K285" s="23"/>
      <c r="L285" s="24"/>
    </row>
    <row r="286" spans="1:12" s="25" customFormat="1" ht="32.25" customHeight="1">
      <c r="A286" s="102"/>
      <c r="B286" s="21"/>
      <c r="C286" s="21" t="s">
        <v>15</v>
      </c>
      <c r="D286" s="445" t="s">
        <v>345</v>
      </c>
      <c r="E286" s="344" t="s">
        <v>3</v>
      </c>
      <c r="F286" s="442"/>
      <c r="G286" s="443">
        <v>7000</v>
      </c>
      <c r="H286" s="444">
        <v>7000</v>
      </c>
      <c r="I286" s="444"/>
      <c r="J286" s="246">
        <f t="shared" si="4"/>
        <v>100</v>
      </c>
      <c r="K286" s="23"/>
      <c r="L286" s="24"/>
    </row>
    <row r="287" spans="1:12" s="25" customFormat="1" ht="24" customHeight="1">
      <c r="A287" s="102"/>
      <c r="B287" s="21"/>
      <c r="C287" s="21" t="s">
        <v>372</v>
      </c>
      <c r="D287" s="445" t="s">
        <v>373</v>
      </c>
      <c r="E287" s="344" t="s">
        <v>1</v>
      </c>
      <c r="F287" s="442"/>
      <c r="G287" s="443">
        <v>6000</v>
      </c>
      <c r="H287" s="444">
        <v>5612</v>
      </c>
      <c r="I287" s="444">
        <v>5612</v>
      </c>
      <c r="J287" s="246">
        <f t="shared" si="4"/>
        <v>93.5</v>
      </c>
      <c r="K287" s="23"/>
      <c r="L287" s="24"/>
    </row>
    <row r="288" spans="1:12" s="25" customFormat="1" ht="33" customHeight="1">
      <c r="A288" s="102"/>
      <c r="B288" s="21"/>
      <c r="C288" s="21"/>
      <c r="D288" s="446" t="s">
        <v>315</v>
      </c>
      <c r="E288" s="344"/>
      <c r="F288" s="442"/>
      <c r="G288" s="442">
        <f>SUM(G289,G290)</f>
        <v>13620</v>
      </c>
      <c r="H288" s="442">
        <f>SUM(H289,H290)</f>
        <v>12271.64</v>
      </c>
      <c r="I288" s="442">
        <f>SUM(I289,I290)</f>
        <v>0</v>
      </c>
      <c r="J288" s="246">
        <f t="shared" si="4"/>
        <v>90.1</v>
      </c>
      <c r="K288" s="23"/>
      <c r="L288" s="24"/>
    </row>
    <row r="289" spans="1:12" s="25" customFormat="1" ht="31.5" customHeight="1">
      <c r="A289" s="102"/>
      <c r="B289" s="21"/>
      <c r="C289" s="21" t="s">
        <v>372</v>
      </c>
      <c r="D289" s="354" t="s">
        <v>316</v>
      </c>
      <c r="E289" s="355" t="s">
        <v>1</v>
      </c>
      <c r="F289" s="447">
        <v>3500</v>
      </c>
      <c r="G289" s="448">
        <f>3500+7300</f>
        <v>10800</v>
      </c>
      <c r="H289" s="449">
        <v>9451.64</v>
      </c>
      <c r="I289" s="449"/>
      <c r="J289" s="246">
        <f t="shared" si="4"/>
        <v>87.5</v>
      </c>
      <c r="K289" s="23"/>
      <c r="L289" s="24"/>
    </row>
    <row r="290" spans="1:12" s="25" customFormat="1" ht="31.5" customHeight="1">
      <c r="A290" s="102"/>
      <c r="B290" s="21"/>
      <c r="C290" s="21" t="s">
        <v>372</v>
      </c>
      <c r="D290" s="354" t="s">
        <v>317</v>
      </c>
      <c r="E290" s="355" t="s">
        <v>1</v>
      </c>
      <c r="F290" s="447"/>
      <c r="G290" s="448">
        <v>2820</v>
      </c>
      <c r="H290" s="449">
        <v>2820</v>
      </c>
      <c r="I290" s="450"/>
      <c r="J290" s="246">
        <f t="shared" si="4"/>
        <v>100</v>
      </c>
      <c r="K290" s="23"/>
      <c r="L290" s="24"/>
    </row>
    <row r="291" spans="1:12" s="25" customFormat="1" ht="31.5" customHeight="1">
      <c r="A291" s="102"/>
      <c r="B291" s="21"/>
      <c r="C291" s="21"/>
      <c r="D291" s="451" t="s">
        <v>318</v>
      </c>
      <c r="E291" s="355"/>
      <c r="F291" s="447"/>
      <c r="G291" s="447">
        <f>SUM(G292,G293,G294)</f>
        <v>18743</v>
      </c>
      <c r="H291" s="447">
        <f>SUM(H292,H293,H294)</f>
        <v>3888</v>
      </c>
      <c r="I291" s="447">
        <f>SUM(I292,I293,I294)</f>
        <v>3888</v>
      </c>
      <c r="J291" s="375">
        <f t="shared" si="4"/>
        <v>20.7</v>
      </c>
      <c r="K291" s="23"/>
      <c r="L291" s="24"/>
    </row>
    <row r="292" spans="1:12" s="25" customFormat="1" ht="30">
      <c r="A292" s="102"/>
      <c r="B292" s="21"/>
      <c r="C292" s="21" t="s">
        <v>15</v>
      </c>
      <c r="D292" s="354" t="s">
        <v>346</v>
      </c>
      <c r="E292" s="355" t="s">
        <v>1</v>
      </c>
      <c r="F292" s="447">
        <v>30000</v>
      </c>
      <c r="G292" s="448">
        <f>30000-26000</f>
        <v>4000</v>
      </c>
      <c r="H292" s="449">
        <v>3888</v>
      </c>
      <c r="I292" s="449">
        <v>3888</v>
      </c>
      <c r="J292" s="248">
        <f t="shared" si="4"/>
        <v>97.2</v>
      </c>
      <c r="K292" s="23"/>
      <c r="L292" s="24"/>
    </row>
    <row r="293" spans="1:12" s="25" customFormat="1" ht="15">
      <c r="A293" s="102"/>
      <c r="B293" s="21"/>
      <c r="C293" s="21" t="s">
        <v>372</v>
      </c>
      <c r="D293" s="452" t="s">
        <v>319</v>
      </c>
      <c r="E293" s="453" t="s">
        <v>1</v>
      </c>
      <c r="F293" s="454"/>
      <c r="G293" s="488">
        <f>3979+3451+1313</f>
        <v>8743</v>
      </c>
      <c r="H293" s="455"/>
      <c r="I293" s="455"/>
      <c r="J293" s="366"/>
      <c r="K293" s="23"/>
      <c r="L293" s="489"/>
    </row>
    <row r="294" spans="1:12" s="25" customFormat="1" ht="30">
      <c r="A294" s="102"/>
      <c r="B294" s="21"/>
      <c r="C294" s="21" t="s">
        <v>15</v>
      </c>
      <c r="D294" s="456" t="s">
        <v>320</v>
      </c>
      <c r="E294" s="355" t="s">
        <v>1</v>
      </c>
      <c r="F294" s="347"/>
      <c r="G294" s="457">
        <v>6000</v>
      </c>
      <c r="H294" s="348"/>
      <c r="I294" s="348"/>
      <c r="J294" s="329"/>
      <c r="K294" s="23"/>
      <c r="L294" s="24"/>
    </row>
    <row r="295" spans="1:11" ht="17.25" customHeight="1">
      <c r="A295" s="103"/>
      <c r="D295" s="458" t="s">
        <v>272</v>
      </c>
      <c r="E295" s="269"/>
      <c r="F295" s="270">
        <f>SUM(F296:F298)</f>
        <v>90000</v>
      </c>
      <c r="G295" s="270">
        <f>SUM(G296,G297,G298)</f>
        <v>143000</v>
      </c>
      <c r="H295" s="270">
        <f>SUM(H296,H297,H298)</f>
        <v>137000</v>
      </c>
      <c r="I295" s="270">
        <f>SUM(I296,I297,I298)</f>
        <v>0</v>
      </c>
      <c r="J295" s="329">
        <f t="shared" si="4"/>
        <v>95.8</v>
      </c>
      <c r="K295" s="26"/>
    </row>
    <row r="296" spans="1:11" ht="17.25" customHeight="1">
      <c r="A296" s="103"/>
      <c r="D296" s="459"/>
      <c r="E296" s="460"/>
      <c r="F296" s="245">
        <v>10000</v>
      </c>
      <c r="G296" s="245">
        <f>10000-10000</f>
        <v>0</v>
      </c>
      <c r="H296" s="265"/>
      <c r="I296" s="265"/>
      <c r="J296" s="246"/>
      <c r="K296" s="26"/>
    </row>
    <row r="297" spans="1:11" ht="17.25" customHeight="1">
      <c r="A297" s="103"/>
      <c r="C297" s="12" t="s">
        <v>15</v>
      </c>
      <c r="D297" s="461" t="s">
        <v>321</v>
      </c>
      <c r="E297" s="460" t="s">
        <v>1</v>
      </c>
      <c r="F297" s="276"/>
      <c r="G297" s="276">
        <v>6000</v>
      </c>
      <c r="H297" s="277"/>
      <c r="I297" s="277"/>
      <c r="J297" s="246"/>
      <c r="K297" s="26"/>
    </row>
    <row r="298" spans="1:12" s="25" customFormat="1" ht="36.75" customHeight="1">
      <c r="A298" s="104"/>
      <c r="B298" s="27"/>
      <c r="C298" s="27" t="s">
        <v>15</v>
      </c>
      <c r="D298" s="252" t="s">
        <v>273</v>
      </c>
      <c r="E298" s="253" t="s">
        <v>3</v>
      </c>
      <c r="F298" s="254">
        <v>80000</v>
      </c>
      <c r="G298" s="254">
        <f>80000+20000+37000</f>
        <v>137000</v>
      </c>
      <c r="H298" s="279">
        <v>137000</v>
      </c>
      <c r="I298" s="279"/>
      <c r="J298" s="255">
        <f t="shared" si="4"/>
        <v>100</v>
      </c>
      <c r="K298" s="78"/>
      <c r="L298" s="24"/>
    </row>
    <row r="299" spans="4:16" s="12" customFormat="1" ht="15">
      <c r="D299" s="15"/>
      <c r="E299" s="462"/>
      <c r="F299" s="462"/>
      <c r="G299" s="15"/>
      <c r="H299" s="15"/>
      <c r="I299" s="15"/>
      <c r="J299" s="79"/>
      <c r="L299" s="14"/>
      <c r="M299" s="15"/>
      <c r="N299" s="15"/>
      <c r="O299" s="15"/>
      <c r="P299" s="15"/>
    </row>
    <row r="300" spans="3:16" s="12" customFormat="1" ht="31.5" customHeight="1">
      <c r="C300" s="463" t="s">
        <v>282</v>
      </c>
      <c r="D300" s="508" t="s">
        <v>283</v>
      </c>
      <c r="E300" s="508"/>
      <c r="F300" s="508"/>
      <c r="G300" s="509"/>
      <c r="H300" s="509"/>
      <c r="I300" s="509"/>
      <c r="J300" s="509"/>
      <c r="L300" s="14"/>
      <c r="M300" s="15"/>
      <c r="N300" s="15"/>
      <c r="O300" s="15"/>
      <c r="P300" s="15"/>
    </row>
  </sheetData>
  <sheetProtection/>
  <mergeCells count="3">
    <mergeCell ref="D1:J1"/>
    <mergeCell ref="D10:J10"/>
    <mergeCell ref="D300:J300"/>
  </mergeCells>
  <printOptions/>
  <pageMargins left="0.7480314960629921" right="0.7480314960629921" top="0.984251968503937" bottom="0.984251968503937" header="0.5118110236220472" footer="0.5118110236220472"/>
  <pageSetup firstPageNumber="5" useFirstPageNumber="1" fitToHeight="0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Tartu Linnavalitsus</cp:lastModifiedBy>
  <cp:lastPrinted>2017-01-16T14:14:38Z</cp:lastPrinted>
  <dcterms:created xsi:type="dcterms:W3CDTF">2015-04-15T07:16:59Z</dcterms:created>
  <dcterms:modified xsi:type="dcterms:W3CDTF">2017-01-16T15:16:31Z</dcterms:modified>
  <cp:category/>
  <cp:version/>
  <cp:contentType/>
  <cp:contentStatus/>
</cp:coreProperties>
</file>